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1A763C2-26DD-4EE8-88B6-5E435BB443AB}" xr6:coauthVersionLast="47" xr6:coauthVersionMax="47" xr10:uidLastSave="{00000000-0000-0000-0000-000000000000}"/>
  <workbookProtection workbookAlgorithmName="SHA-512" workbookHashValue="cXcr1J7uMIBcM05mJGJ3vd8abjGqG9NdGb+XepDCaHjPsa6AX06Ycd69AjLW6w9JuZffErlxw3Evz3184X15tw==" workbookSaltValue="2bvwPjt8yraQo0VqbFOulg==" workbookSpinCount="100000" lockStructure="1"/>
  <bookViews>
    <workbookView xWindow="-110" yWindow="-110" windowWidth="19420" windowHeight="11620" xr2:uid="{00000000-000D-0000-FFFF-FFFF00000000}"/>
  </bookViews>
  <sheets>
    <sheet name="使用料計算機" sheetId="4" r:id="rId1"/>
    <sheet name="改定額試算" sheetId="2" state="hidden" r:id="rId2"/>
    <sheet name="下水道料金" sheetId="1" state="hidden" r:id="rId3"/>
    <sheet name="水道料金" sheetId="3" state="hidden" r:id="rId4"/>
  </sheets>
  <definedNames>
    <definedName name="_xlnm.Print_Area" localSheetId="0">使用料計算機!$A$1:$M$30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4" i="2"/>
  <c r="B3" i="2"/>
  <c r="B2" i="2"/>
  <c r="K1" i="4" l="1"/>
  <c r="D51" i="2" l="1"/>
  <c r="D52" i="2" s="1"/>
  <c r="B52" i="2"/>
  <c r="B48" i="2"/>
  <c r="C51" i="2" l="1"/>
  <c r="C52" i="2" s="1"/>
  <c r="E52" i="2" s="1"/>
  <c r="E47" i="2"/>
  <c r="D47" i="2" s="1"/>
  <c r="D48" i="2" s="1"/>
  <c r="I43" i="2"/>
  <c r="B44" i="2"/>
  <c r="H39" i="2"/>
  <c r="H40" i="2" s="1"/>
  <c r="B40" i="2"/>
  <c r="E51" i="2" l="1"/>
  <c r="C47" i="2"/>
  <c r="C48" i="2" s="1"/>
  <c r="H43" i="2"/>
  <c r="H44" i="2" s="1"/>
  <c r="I44" i="2"/>
  <c r="F47" i="2"/>
  <c r="E48" i="2"/>
  <c r="G39" i="2"/>
  <c r="G40" i="2" s="1"/>
  <c r="B30" i="2"/>
  <c r="B29" i="2"/>
  <c r="F28" i="2"/>
  <c r="F30" i="2" s="1"/>
  <c r="G43" i="2" l="1"/>
  <c r="G44" i="2" s="1"/>
  <c r="F48" i="2"/>
  <c r="F43" i="2"/>
  <c r="F44" i="2" s="1"/>
  <c r="F39" i="2"/>
  <c r="F40" i="2" s="1"/>
  <c r="E28" i="2"/>
  <c r="D28" i="2" s="1"/>
  <c r="F29" i="2"/>
  <c r="E43" i="2" l="1"/>
  <c r="E39" i="2"/>
  <c r="E40" i="2" s="1"/>
  <c r="D30" i="2"/>
  <c r="D29" i="2"/>
  <c r="E30" i="2"/>
  <c r="E29" i="2"/>
  <c r="C28" i="2"/>
  <c r="D39" i="2" l="1"/>
  <c r="D40" i="2" s="1"/>
  <c r="E44" i="2"/>
  <c r="D43" i="2"/>
  <c r="C39" i="2"/>
  <c r="C40" i="2" s="1"/>
  <c r="I40" i="2" s="1"/>
  <c r="C30" i="2"/>
  <c r="C29" i="2"/>
  <c r="B28" i="2"/>
  <c r="I39" i="2" l="1"/>
  <c r="D44" i="2"/>
  <c r="C43" i="2"/>
  <c r="B25" i="2"/>
  <c r="B24" i="2"/>
  <c r="C44" i="2" l="1"/>
  <c r="J44" i="2" s="1"/>
  <c r="E8" i="2" s="1"/>
  <c r="J43" i="2"/>
  <c r="G29" i="2"/>
  <c r="G30" i="2"/>
  <c r="G28" i="2"/>
  <c r="B33" i="2"/>
  <c r="B35" i="2" s="1"/>
  <c r="C35" i="2" s="1"/>
  <c r="H18" i="2"/>
  <c r="K23" i="2"/>
  <c r="B20" i="2"/>
  <c r="B19" i="2"/>
  <c r="E12" i="2" l="1"/>
  <c r="B20" i="4" s="1"/>
  <c r="J23" i="2"/>
  <c r="K24" i="2"/>
  <c r="K25" i="2"/>
  <c r="C33" i="2"/>
  <c r="B34" i="2"/>
  <c r="C34" i="2" s="1"/>
  <c r="I23" i="2"/>
  <c r="H23" i="2" l="1"/>
  <c r="G23" i="2" s="1"/>
  <c r="I24" i="2"/>
  <c r="I25" i="2"/>
  <c r="J25" i="2"/>
  <c r="J24" i="2"/>
  <c r="F23" i="2" l="1"/>
  <c r="E23" i="2" s="1"/>
  <c r="G24" i="2"/>
  <c r="G25" i="2"/>
  <c r="H25" i="2"/>
  <c r="H24" i="2"/>
  <c r="D23" i="2" l="1"/>
  <c r="E25" i="2"/>
  <c r="E24" i="2"/>
  <c r="F25" i="2"/>
  <c r="F24" i="2"/>
  <c r="H20" i="2"/>
  <c r="C23" i="2" l="1"/>
  <c r="D24" i="2"/>
  <c r="D25" i="2"/>
  <c r="G18" i="2"/>
  <c r="H19" i="2"/>
  <c r="B23" i="2" l="1"/>
  <c r="C25" i="2"/>
  <c r="L25" i="2" s="1"/>
  <c r="C24" i="2"/>
  <c r="L24" i="2" s="1"/>
  <c r="F18" i="2"/>
  <c r="F20" i="2" s="1"/>
  <c r="G19" i="2"/>
  <c r="G20" i="2"/>
  <c r="O27" i="1"/>
  <c r="O26" i="1"/>
  <c r="O25" i="1"/>
  <c r="O24" i="1"/>
  <c r="O19" i="1"/>
  <c r="O18" i="1"/>
  <c r="O17" i="1"/>
  <c r="O16" i="1"/>
  <c r="O15" i="1"/>
  <c r="O14" i="1"/>
  <c r="O13" i="1"/>
  <c r="O12" i="1"/>
  <c r="O3" i="1"/>
  <c r="O31" i="1"/>
  <c r="O28" i="1"/>
  <c r="O21" i="1"/>
  <c r="O20" i="1"/>
  <c r="O9" i="1"/>
  <c r="G31" i="1"/>
  <c r="G27" i="1"/>
  <c r="G28" i="1"/>
  <c r="G26" i="1"/>
  <c r="G25" i="1"/>
  <c r="G24" i="1"/>
  <c r="G19" i="1"/>
  <c r="G20" i="1"/>
  <c r="G21" i="1"/>
  <c r="G18" i="1"/>
  <c r="G17" i="1"/>
  <c r="G16" i="1"/>
  <c r="G15" i="1"/>
  <c r="G14" i="1"/>
  <c r="G13" i="1"/>
  <c r="G12" i="1"/>
  <c r="G4" i="1"/>
  <c r="G5" i="1"/>
  <c r="G6" i="1"/>
  <c r="G7" i="1"/>
  <c r="G8" i="1"/>
  <c r="G9" i="1"/>
  <c r="G3" i="1"/>
  <c r="F19" i="2" l="1"/>
  <c r="E18" i="2"/>
  <c r="E20" i="2" s="1"/>
  <c r="O5" i="1"/>
  <c r="O4" i="1"/>
  <c r="O6" i="1"/>
  <c r="O7" i="1"/>
  <c r="O8" i="1"/>
  <c r="D18" i="2" l="1"/>
  <c r="C18" i="2" s="1"/>
  <c r="B18" i="2" s="1"/>
  <c r="E19" i="2"/>
  <c r="D19" i="2" l="1"/>
  <c r="D20" i="2"/>
  <c r="I18" i="2"/>
  <c r="C20" i="2"/>
  <c r="C19" i="2"/>
  <c r="I19" i="2" s="1"/>
  <c r="B8" i="2" l="1"/>
  <c r="H8" i="2" s="1"/>
  <c r="I20" i="2"/>
  <c r="B9" i="2" s="1"/>
  <c r="B10" i="2" s="1"/>
  <c r="L23" i="2"/>
  <c r="B12" i="2" l="1"/>
  <c r="H12" i="2" s="1"/>
  <c r="B13" i="2"/>
  <c r="H9" i="2"/>
  <c r="H10" i="2" s="1"/>
  <c r="B18" i="4" l="1"/>
  <c r="B25" i="4" s="1"/>
  <c r="H13" i="2"/>
  <c r="H14" i="2" s="1"/>
  <c r="B16" i="4"/>
  <c r="B14" i="2"/>
  <c r="B23" i="4" l="1"/>
  <c r="B27" i="4" s="1"/>
</calcChain>
</file>

<file path=xl/sharedStrings.xml><?xml version="1.0" encoding="utf-8"?>
<sst xmlns="http://schemas.openxmlformats.org/spreadsheetml/2006/main" count="298" uniqueCount="94">
  <si>
    <t>基本料金</t>
    <rPh sb="0" eb="4">
      <t>キホンリョウキン</t>
    </rPh>
    <phoneticPr fontId="2"/>
  </si>
  <si>
    <t>超過</t>
    <rPh sb="0" eb="2">
      <t>チョウカ</t>
    </rPh>
    <phoneticPr fontId="2"/>
  </si>
  <si>
    <t>～</t>
    <phoneticPr fontId="2"/>
  </si>
  <si>
    <t>改正前</t>
    <rPh sb="0" eb="3">
      <t>カイセイマエ</t>
    </rPh>
    <phoneticPr fontId="2"/>
  </si>
  <si>
    <t>改正後</t>
    <rPh sb="0" eb="3">
      <t>カイセイゴ</t>
    </rPh>
    <phoneticPr fontId="2"/>
  </si>
  <si>
    <t>差額</t>
    <rPh sb="0" eb="2">
      <t>サガク</t>
    </rPh>
    <phoneticPr fontId="2"/>
  </si>
  <si>
    <t>プール・工事</t>
    <rPh sb="4" eb="6">
      <t>コウジ</t>
    </rPh>
    <phoneticPr fontId="2"/>
  </si>
  <si>
    <t>公衆浴場</t>
    <rPh sb="0" eb="2">
      <t>コウシュウ</t>
    </rPh>
    <rPh sb="2" eb="4">
      <t>ヨクジョウ</t>
    </rPh>
    <phoneticPr fontId="2"/>
  </si>
  <si>
    <t>㎥</t>
    <phoneticPr fontId="2"/>
  </si>
  <si>
    <t>合計</t>
    <rPh sb="0" eb="2">
      <t>ゴウケイ</t>
    </rPh>
    <phoneticPr fontId="2"/>
  </si>
  <si>
    <t>改定前使用料（税込）</t>
    <rPh sb="0" eb="3">
      <t>カイテイマエ</t>
    </rPh>
    <rPh sb="3" eb="6">
      <t>シヨウリョウ</t>
    </rPh>
    <rPh sb="7" eb="9">
      <t>ゼイコミ</t>
    </rPh>
    <phoneticPr fontId="2"/>
  </si>
  <si>
    <t>改定後使用料（税込）</t>
    <rPh sb="0" eb="3">
      <t>カイテイゴ</t>
    </rPh>
    <rPh sb="3" eb="6">
      <t>シヨウリョウ</t>
    </rPh>
    <rPh sb="7" eb="9">
      <t>ゼイコ</t>
    </rPh>
    <phoneticPr fontId="2"/>
  </si>
  <si>
    <t>0~12㎥</t>
    <phoneticPr fontId="2"/>
  </si>
  <si>
    <t>13~20㎥</t>
    <phoneticPr fontId="2"/>
  </si>
  <si>
    <t>21~30㎥</t>
    <phoneticPr fontId="2"/>
  </si>
  <si>
    <t>31~40㎥</t>
    <phoneticPr fontId="2"/>
  </si>
  <si>
    <t>41~80㎥</t>
    <phoneticPr fontId="2"/>
  </si>
  <si>
    <t>81~200㎥</t>
    <phoneticPr fontId="2"/>
  </si>
  <si>
    <t>201㎥~</t>
    <phoneticPr fontId="2"/>
  </si>
  <si>
    <t>１期あたり使用水量</t>
    <rPh sb="1" eb="2">
      <t>キ</t>
    </rPh>
    <rPh sb="5" eb="9">
      <t>シヨウスイリョウ</t>
    </rPh>
    <phoneticPr fontId="2"/>
  </si>
  <si>
    <t>区分ごと使用水量</t>
    <rPh sb="0" eb="2">
      <t>クブン</t>
    </rPh>
    <rPh sb="4" eb="8">
      <t>シヨウスイリョウ</t>
    </rPh>
    <phoneticPr fontId="2"/>
  </si>
  <si>
    <t>区分ごと使用料（改定前）</t>
    <rPh sb="0" eb="2">
      <t>クブン</t>
    </rPh>
    <rPh sb="4" eb="6">
      <t>シヨウ</t>
    </rPh>
    <rPh sb="6" eb="7">
      <t>リョウ</t>
    </rPh>
    <rPh sb="8" eb="11">
      <t>カイテイマエ</t>
    </rPh>
    <phoneticPr fontId="2"/>
  </si>
  <si>
    <t>区分ごと使用料（改定後）</t>
    <rPh sb="0" eb="2">
      <t>クブン</t>
    </rPh>
    <rPh sb="4" eb="6">
      <t>シヨウ</t>
    </rPh>
    <rPh sb="6" eb="7">
      <t>リョウ</t>
    </rPh>
    <rPh sb="8" eb="10">
      <t>カイテイ</t>
    </rPh>
    <rPh sb="10" eb="11">
      <t>ゴ</t>
    </rPh>
    <phoneticPr fontId="2"/>
  </si>
  <si>
    <t>下水道使用料（２か月・税抜）</t>
    <rPh sb="0" eb="3">
      <t>ゲスイドウ</t>
    </rPh>
    <rPh sb="3" eb="6">
      <t>シヨウリョウ</t>
    </rPh>
    <rPh sb="9" eb="10">
      <t>ゲツ</t>
    </rPh>
    <rPh sb="11" eb="13">
      <t>ゼイヌ</t>
    </rPh>
    <phoneticPr fontId="2"/>
  </si>
  <si>
    <t>下水道使用料（１か月・税抜）</t>
    <rPh sb="0" eb="3">
      <t>ゲスイドウ</t>
    </rPh>
    <rPh sb="3" eb="6">
      <t>シヨウリョウ</t>
    </rPh>
    <rPh sb="9" eb="10">
      <t>ゲツ</t>
    </rPh>
    <rPh sb="11" eb="13">
      <t>ゼイヌ</t>
    </rPh>
    <phoneticPr fontId="2"/>
  </si>
  <si>
    <t>使用水量</t>
    <rPh sb="0" eb="4">
      <t>シヨウスイリョウ</t>
    </rPh>
    <phoneticPr fontId="2"/>
  </si>
  <si>
    <t>201~400㎥</t>
    <phoneticPr fontId="2"/>
  </si>
  <si>
    <t>401~1000㎥</t>
    <phoneticPr fontId="2"/>
  </si>
  <si>
    <t>1001~2000㎥</t>
    <phoneticPr fontId="2"/>
  </si>
  <si>
    <t>2001㎥~</t>
    <phoneticPr fontId="2"/>
  </si>
  <si>
    <t>改定前使用料（税抜）</t>
    <rPh sb="0" eb="3">
      <t>カイテイマエ</t>
    </rPh>
    <rPh sb="3" eb="6">
      <t>シヨウリョウ</t>
    </rPh>
    <rPh sb="7" eb="9">
      <t>ゼイヌキ</t>
    </rPh>
    <phoneticPr fontId="2"/>
  </si>
  <si>
    <t>改定後使用料（税抜）</t>
    <rPh sb="0" eb="3">
      <t>カイテイゴ</t>
    </rPh>
    <rPh sb="3" eb="6">
      <t>シヨウリョウ</t>
    </rPh>
    <rPh sb="7" eb="9">
      <t>ゼイヌキ</t>
    </rPh>
    <phoneticPr fontId="2"/>
  </si>
  <si>
    <t>1~㎥</t>
    <phoneticPr fontId="2"/>
  </si>
  <si>
    <t>41~㎥</t>
    <phoneticPr fontId="2"/>
  </si>
  <si>
    <t>一般家庭</t>
    <rPh sb="0" eb="4">
      <t>イッパンカテイ</t>
    </rPh>
    <phoneticPr fontId="2"/>
  </si>
  <si>
    <t>業務用</t>
    <rPh sb="0" eb="3">
      <t>ギョウムヨウ</t>
    </rPh>
    <phoneticPr fontId="2"/>
  </si>
  <si>
    <t>水道使用料（１か月・税抜）</t>
    <rPh sb="0" eb="2">
      <t>スイドウ</t>
    </rPh>
    <rPh sb="2" eb="5">
      <t>シヨウリョウ</t>
    </rPh>
    <rPh sb="8" eb="9">
      <t>ゲツ</t>
    </rPh>
    <rPh sb="10" eb="12">
      <t>ゼイヌ</t>
    </rPh>
    <phoneticPr fontId="2"/>
  </si>
  <si>
    <t>基本料金</t>
    <rPh sb="0" eb="4">
      <t>キホンリョウキン</t>
    </rPh>
    <phoneticPr fontId="2"/>
  </si>
  <si>
    <t>メーター口径（㎜）</t>
    <rPh sb="4" eb="6">
      <t>コウケイ</t>
    </rPh>
    <phoneticPr fontId="2"/>
  </si>
  <si>
    <t>金額</t>
    <rPh sb="0" eb="2">
      <t>キンガク</t>
    </rPh>
    <phoneticPr fontId="2"/>
  </si>
  <si>
    <t>従量料金</t>
    <rPh sb="0" eb="4">
      <t>ジュウリョウリョウキン</t>
    </rPh>
    <phoneticPr fontId="2"/>
  </si>
  <si>
    <t>使用量（家事用）</t>
    <rPh sb="0" eb="3">
      <t>シヨウリョウ</t>
    </rPh>
    <rPh sb="4" eb="7">
      <t>カジヨウ</t>
    </rPh>
    <phoneticPr fontId="2"/>
  </si>
  <si>
    <t>使用量（業務用）</t>
    <rPh sb="0" eb="3">
      <t>シヨウリョウ</t>
    </rPh>
    <rPh sb="4" eb="6">
      <t>ギョウム</t>
    </rPh>
    <rPh sb="6" eb="7">
      <t>ヨウ</t>
    </rPh>
    <phoneticPr fontId="2"/>
  </si>
  <si>
    <t>使用量（公衆浴場用）</t>
    <rPh sb="0" eb="3">
      <t>シヨウリョウ</t>
    </rPh>
    <rPh sb="4" eb="8">
      <t>コウシュウヨクジョウ</t>
    </rPh>
    <rPh sb="8" eb="9">
      <t>ヨウ</t>
    </rPh>
    <phoneticPr fontId="2"/>
  </si>
  <si>
    <t>使用量（プール用）</t>
    <rPh sb="0" eb="3">
      <t>シヨウリョウ</t>
    </rPh>
    <rPh sb="7" eb="8">
      <t>ヨウ</t>
    </rPh>
    <phoneticPr fontId="2"/>
  </si>
  <si>
    <t>水道使用料（２か月・税抜）</t>
    <rPh sb="0" eb="2">
      <t>スイドウ</t>
    </rPh>
    <rPh sb="2" eb="5">
      <t>シヨウリョウ</t>
    </rPh>
    <rPh sb="8" eb="9">
      <t>ゲツ</t>
    </rPh>
    <rPh sb="10" eb="12">
      <t>ゼイヌ</t>
    </rPh>
    <phoneticPr fontId="2"/>
  </si>
  <si>
    <t>下水道料金</t>
    <rPh sb="0" eb="5">
      <t>ゲスイドウリョウキン</t>
    </rPh>
    <phoneticPr fontId="2"/>
  </si>
  <si>
    <t>水道料金</t>
    <rPh sb="0" eb="4">
      <t>スイドウリョウキン</t>
    </rPh>
    <phoneticPr fontId="2"/>
  </si>
  <si>
    <t>家事用</t>
    <rPh sb="0" eb="3">
      <t>カジヨウ</t>
    </rPh>
    <phoneticPr fontId="2"/>
  </si>
  <si>
    <t>㎜</t>
    <phoneticPr fontId="2"/>
  </si>
  <si>
    <t>水道メーター口径</t>
    <rPh sb="0" eb="2">
      <t>スイドウ</t>
    </rPh>
    <rPh sb="6" eb="8">
      <t>コウケイ</t>
    </rPh>
    <phoneticPr fontId="2"/>
  </si>
  <si>
    <t>~20㎥</t>
    <phoneticPr fontId="2"/>
  </si>
  <si>
    <t>区分ごと使用料</t>
    <rPh sb="0" eb="2">
      <t>クブン</t>
    </rPh>
    <rPh sb="4" eb="6">
      <t>シヨウ</t>
    </rPh>
    <rPh sb="6" eb="7">
      <t>リョウ</t>
    </rPh>
    <phoneticPr fontId="2"/>
  </si>
  <si>
    <t>【下水道】</t>
    <rPh sb="1" eb="4">
      <t>ゲスイドウ</t>
    </rPh>
    <phoneticPr fontId="2"/>
  </si>
  <si>
    <t>【上水道】</t>
    <rPh sb="1" eb="4">
      <t>ジョウスイドウ</t>
    </rPh>
    <phoneticPr fontId="2"/>
  </si>
  <si>
    <t>使用料（税抜）</t>
    <rPh sb="0" eb="3">
      <t>シヨウリョウ</t>
    </rPh>
    <rPh sb="4" eb="6">
      <t>ゼイヌキ</t>
    </rPh>
    <phoneticPr fontId="2"/>
  </si>
  <si>
    <t>使用料（税込）</t>
    <rPh sb="0" eb="3">
      <t>シヨウリョウ</t>
    </rPh>
    <rPh sb="4" eb="6">
      <t>ゼイコミ</t>
    </rPh>
    <phoneticPr fontId="2"/>
  </si>
  <si>
    <t>業務用</t>
    <rPh sb="0" eb="2">
      <t>ギョウム</t>
    </rPh>
    <rPh sb="2" eb="3">
      <t>ヨウ</t>
    </rPh>
    <phoneticPr fontId="2"/>
  </si>
  <si>
    <t>401㎥~</t>
    <phoneticPr fontId="2"/>
  </si>
  <si>
    <t>公衆浴場用</t>
    <rPh sb="0" eb="5">
      <t>コウシュウヨクジョウヨウ</t>
    </rPh>
    <phoneticPr fontId="2"/>
  </si>
  <si>
    <t>21㎥~</t>
    <phoneticPr fontId="2"/>
  </si>
  <si>
    <t>31㎥~</t>
    <phoneticPr fontId="2"/>
  </si>
  <si>
    <t>プール用</t>
    <rPh sb="3" eb="4">
      <t>ヨウ</t>
    </rPh>
    <phoneticPr fontId="2"/>
  </si>
  <si>
    <t>【合計】</t>
    <rPh sb="1" eb="3">
      <t>ゴウケイ</t>
    </rPh>
    <phoneticPr fontId="2"/>
  </si>
  <si>
    <t>下水道使用料、水道料金自動計算（消費税10％)</t>
    <rPh sb="0" eb="3">
      <t>ゲスイドウ</t>
    </rPh>
    <rPh sb="3" eb="6">
      <t>シヨウリョウ</t>
    </rPh>
    <rPh sb="11" eb="13">
      <t>ジドウ</t>
    </rPh>
    <rPh sb="13" eb="15">
      <t>ケイサン</t>
    </rPh>
    <rPh sb="16" eb="19">
      <t>ショウヒゼイ</t>
    </rPh>
    <phoneticPr fontId="5"/>
  </si>
  <si>
    <t>（計算実行日）</t>
    <rPh sb="1" eb="3">
      <t>ケイサン</t>
    </rPh>
    <rPh sb="3" eb="6">
      <t>ジッコウビ</t>
    </rPh>
    <phoneticPr fontId="5"/>
  </si>
  <si>
    <t>・着色部分を入力すれば、１期(２か月)あたりの下水道使用料と水道料金が計算できます。</t>
    <phoneticPr fontId="5"/>
  </si>
  <si>
    <t xml:space="preserve">・福祉減免制度、料金算定特例制度をご利用の場合は、こちらの自動計算では計算できません。 </t>
    <phoneticPr fontId="5"/>
  </si>
  <si>
    <t xml:space="preserve"> ←ここをクリックして表示されるリストから選択してください。</t>
    <rPh sb="11" eb="13">
      <t>ヒョウジ</t>
    </rPh>
    <phoneticPr fontId="5"/>
  </si>
  <si>
    <t>メーター口径</t>
    <rPh sb="4" eb="6">
      <t>コウケイ</t>
    </rPh>
    <phoneticPr fontId="5"/>
  </si>
  <si>
    <t>㎜</t>
    <phoneticPr fontId="5"/>
  </si>
  <si>
    <t>←水道料金を計算する場合、リストから選択してください。</t>
    <rPh sb="1" eb="3">
      <t>スイドウ</t>
    </rPh>
    <rPh sb="3" eb="5">
      <t>リョウキン</t>
    </rPh>
    <rPh sb="6" eb="8">
      <t>ケイサン</t>
    </rPh>
    <rPh sb="10" eb="12">
      <t>バアイ</t>
    </rPh>
    <rPh sb="18" eb="20">
      <t>センタク</t>
    </rPh>
    <phoneticPr fontId="5"/>
  </si>
  <si>
    <t>使用水量</t>
    <rPh sb="0" eb="2">
      <t>シヨウ</t>
    </rPh>
    <rPh sb="2" eb="4">
      <t>スイリョウ</t>
    </rPh>
    <phoneticPr fontId="5"/>
  </si>
  <si>
    <t>㎥/期</t>
    <rPh sb="2" eb="3">
      <t>キ</t>
    </rPh>
    <phoneticPr fontId="5"/>
  </si>
  <si>
    <t>←１期（２か月）あたりの使用水量を入力してください。</t>
    <rPh sb="2" eb="3">
      <t>キ</t>
    </rPh>
    <rPh sb="6" eb="7">
      <t>ゲツ</t>
    </rPh>
    <rPh sb="12" eb="14">
      <t>シヨウ</t>
    </rPh>
    <rPh sb="14" eb="16">
      <t>スイリョウ</t>
    </rPh>
    <rPh sb="17" eb="19">
      <t>ニュウリョク</t>
    </rPh>
    <phoneticPr fontId="5"/>
  </si>
  <si>
    <t>府中町下水道条例第34条</t>
    <phoneticPr fontId="5"/>
  </si>
  <si>
    <t>水道料金</t>
    <rPh sb="0" eb="2">
      <t>スイドウ</t>
    </rPh>
    <rPh sb="2" eb="4">
      <t>リョウキン</t>
    </rPh>
    <phoneticPr fontId="5"/>
  </si>
  <si>
    <t>広島市水道給水条例第26条から第28条</t>
    <phoneticPr fontId="5"/>
  </si>
  <si>
    <t>府中町町民生活部下水道課</t>
    <rPh sb="0" eb="3">
      <t>フチュウチョウ</t>
    </rPh>
    <rPh sb="3" eb="5">
      <t>チョウミン</t>
    </rPh>
    <rPh sb="5" eb="7">
      <t>セイカツ</t>
    </rPh>
    <rPh sb="7" eb="8">
      <t>ブ</t>
    </rPh>
    <rPh sb="8" eb="11">
      <t>ゲスイドウ</t>
    </rPh>
    <rPh sb="11" eb="12">
      <t>カ</t>
    </rPh>
    <phoneticPr fontId="5"/>
  </si>
  <si>
    <t>下水種別</t>
    <rPh sb="0" eb="2">
      <t>ゲスイ</t>
    </rPh>
    <rPh sb="2" eb="4">
      <t>シュベツ</t>
    </rPh>
    <phoneticPr fontId="2"/>
  </si>
  <si>
    <t>上水用途</t>
    <rPh sb="0" eb="2">
      <t>ジョウスイ</t>
    </rPh>
    <rPh sb="2" eb="4">
      <t>ヨウト</t>
    </rPh>
    <phoneticPr fontId="2"/>
  </si>
  <si>
    <t>下水種別</t>
    <rPh sb="0" eb="2">
      <t>ゲスイ</t>
    </rPh>
    <rPh sb="2" eb="4">
      <t>シュベツ</t>
    </rPh>
    <phoneticPr fontId="5"/>
  </si>
  <si>
    <t>水道用途</t>
    <rPh sb="0" eb="2">
      <t>スイドウ</t>
    </rPh>
    <rPh sb="2" eb="4">
      <t>ヨウト</t>
    </rPh>
    <phoneticPr fontId="2"/>
  </si>
  <si>
    <t>一般家庭汚水</t>
    <rPh sb="0" eb="4">
      <t>イッパンカテイ</t>
    </rPh>
    <rPh sb="4" eb="6">
      <t>オスイ</t>
    </rPh>
    <phoneticPr fontId="2"/>
  </si>
  <si>
    <t>業務用汚水</t>
    <rPh sb="0" eb="3">
      <t>ギョウムヨウ</t>
    </rPh>
    <rPh sb="3" eb="5">
      <t>オスイ</t>
    </rPh>
    <phoneticPr fontId="2"/>
  </si>
  <si>
    <t>公衆浴場汚水</t>
    <rPh sb="0" eb="4">
      <t>コウシュウヨクジョウ</t>
    </rPh>
    <rPh sb="4" eb="6">
      <t>オスイ</t>
    </rPh>
    <phoneticPr fontId="2"/>
  </si>
  <si>
    <t>プール及び土木工事による汚水</t>
    <rPh sb="3" eb="4">
      <t>オヨ</t>
    </rPh>
    <rPh sb="5" eb="9">
      <t>ドボクコウジ</t>
    </rPh>
    <rPh sb="12" eb="14">
      <t>オスイ</t>
    </rPh>
    <phoneticPr fontId="2"/>
  </si>
  <si>
    <t>下水道使用料
（改定後）</t>
    <rPh sb="0" eb="3">
      <t>ゲスイドウ</t>
    </rPh>
    <rPh sb="3" eb="6">
      <t>シヨウリョウ</t>
    </rPh>
    <rPh sb="8" eb="10">
      <t>カイテイ</t>
    </rPh>
    <rPh sb="10" eb="11">
      <t>ゴ</t>
    </rPh>
    <phoneticPr fontId="5"/>
  </si>
  <si>
    <t>下水道使用料
（改定前）</t>
    <rPh sb="0" eb="3">
      <t>ゲスイドウ</t>
    </rPh>
    <rPh sb="3" eb="6">
      <t>シヨウリョウ</t>
    </rPh>
    <rPh sb="8" eb="10">
      <t>カイテイ</t>
    </rPh>
    <rPh sb="10" eb="11">
      <t>マエ</t>
    </rPh>
    <phoneticPr fontId="5"/>
  </si>
  <si>
    <t>合計支払額
（改定後）</t>
    <rPh sb="0" eb="2">
      <t>ゴウケイ</t>
    </rPh>
    <rPh sb="2" eb="4">
      <t>シハライ</t>
    </rPh>
    <rPh sb="4" eb="5">
      <t>ガク</t>
    </rPh>
    <rPh sb="7" eb="10">
      <t>カイテイゴ</t>
    </rPh>
    <phoneticPr fontId="5"/>
  </si>
  <si>
    <t>合計支払額
（改定前）</t>
    <rPh sb="0" eb="2">
      <t>ゴウケイ</t>
    </rPh>
    <rPh sb="2" eb="4">
      <t>シハライ</t>
    </rPh>
    <rPh sb="4" eb="5">
      <t>ガク</t>
    </rPh>
    <rPh sb="7" eb="9">
      <t>カイテイ</t>
    </rPh>
    <rPh sb="9" eb="10">
      <t>マエ</t>
    </rPh>
    <phoneticPr fontId="5"/>
  </si>
  <si>
    <t>差額</t>
    <rPh sb="0" eb="2">
      <t>サガク</t>
    </rPh>
    <phoneticPr fontId="5"/>
  </si>
  <si>
    <t>円（税込）</t>
    <rPh sb="0" eb="1">
      <t>エン</t>
    </rPh>
    <phoneticPr fontId="5"/>
  </si>
  <si>
    <t>082-286-3189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</si>
</sst>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1" xfId="1" applyFont="1" applyBorder="1" applyAlignme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/>
    <xf numFmtId="38" fontId="0" fillId="0" borderId="1" xfId="1" applyFont="1" applyBorder="1" applyAlignment="1">
      <alignment horizontal="center"/>
    </xf>
    <xf numFmtId="38" fontId="0" fillId="2" borderId="5" xfId="1" applyFont="1" applyFill="1" applyBorder="1" applyAlignment="1"/>
    <xf numFmtId="0" fontId="0" fillId="0" borderId="0" xfId="0" applyFill="1"/>
    <xf numFmtId="38" fontId="0" fillId="0" borderId="0" xfId="1" applyFont="1" applyFill="1" applyBorder="1" applyAlignment="1"/>
    <xf numFmtId="0" fontId="0" fillId="0" borderId="1" xfId="0" applyFill="1" applyBorder="1" applyAlignment="1">
      <alignment horizontal="center"/>
    </xf>
    <xf numFmtId="38" fontId="0" fillId="2" borderId="5" xfId="1" applyFont="1" applyFill="1" applyBorder="1" applyAlignment="1">
      <alignment shrinkToFi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Continuous"/>
    </xf>
    <xf numFmtId="38" fontId="0" fillId="0" borderId="9" xfId="1" applyFont="1" applyBorder="1" applyAlignment="1"/>
    <xf numFmtId="38" fontId="0" fillId="0" borderId="1" xfId="1" applyFont="1" applyFill="1" applyBorder="1" applyAlignment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4" fillId="0" borderId="0" xfId="2" applyFont="1" applyAlignment="1">
      <alignment horizontal="left" vertical="center"/>
    </xf>
    <xf numFmtId="0" fontId="3" fillId="0" borderId="0" xfId="2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Alignment="1">
      <alignment horizontal="center" vertical="center"/>
    </xf>
    <xf numFmtId="0" fontId="7" fillId="0" borderId="0" xfId="2" applyFont="1" applyAlignment="1"/>
    <xf numFmtId="0" fontId="3" fillId="0" borderId="0" xfId="2" applyAlignment="1"/>
    <xf numFmtId="0" fontId="3" fillId="0" borderId="0" xfId="2" applyFont="1" applyAlignment="1"/>
    <xf numFmtId="0" fontId="8" fillId="0" borderId="0" xfId="2" applyFont="1" applyAlignment="1">
      <alignment horizontal="center" vertical="center"/>
    </xf>
    <xf numFmtId="0" fontId="9" fillId="3" borderId="5" xfId="2" applyFont="1" applyFill="1" applyBorder="1" applyAlignment="1" applyProtection="1">
      <alignment horizontal="center" vertical="center"/>
      <protection locked="0"/>
    </xf>
    <xf numFmtId="0" fontId="6" fillId="0" borderId="0" xfId="2" applyFont="1" applyAlignment="1"/>
    <xf numFmtId="0" fontId="8" fillId="0" borderId="0" xfId="2" applyFont="1" applyAlignment="1"/>
    <xf numFmtId="0" fontId="10" fillId="3" borderId="5" xfId="2" applyFont="1" applyFill="1" applyBorder="1" applyAlignment="1" applyProtection="1">
      <alignment horizontal="right" vertical="center"/>
      <protection locked="0"/>
    </xf>
    <xf numFmtId="38" fontId="10" fillId="3" borderId="5" xfId="3" applyFont="1" applyFill="1" applyBorder="1" applyAlignment="1" applyProtection="1">
      <protection locked="0"/>
    </xf>
    <xf numFmtId="38" fontId="11" fillId="0" borderId="0" xfId="3" applyFont="1" applyFill="1" applyBorder="1" applyAlignment="1"/>
    <xf numFmtId="38" fontId="10" fillId="0" borderId="5" xfId="3" applyFont="1" applyBorder="1" applyAlignment="1" applyProtection="1">
      <protection hidden="1"/>
    </xf>
    <xf numFmtId="0" fontId="11" fillId="0" borderId="0" xfId="2" applyFont="1" applyAlignment="1"/>
    <xf numFmtId="0" fontId="12" fillId="0" borderId="0" xfId="2" applyFont="1" applyAlignment="1">
      <alignment vertical="center"/>
    </xf>
    <xf numFmtId="0" fontId="3" fillId="0" borderId="0" xfId="2" applyFill="1" applyAlignment="1">
      <alignment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shrinkToFit="1"/>
    </xf>
    <xf numFmtId="38" fontId="10" fillId="0" borderId="0" xfId="3" applyFont="1" applyBorder="1" applyAlignment="1" applyProtection="1">
      <protection hidden="1"/>
    </xf>
    <xf numFmtId="0" fontId="8" fillId="0" borderId="0" xfId="2" applyFont="1" applyAlignment="1">
      <alignment horizontal="center" vertical="center" wrapText="1"/>
    </xf>
    <xf numFmtId="0" fontId="3" fillId="0" borderId="0" xfId="2" applyAlignment="1">
      <alignment horizontal="right" vertical="center"/>
    </xf>
    <xf numFmtId="176" fontId="6" fillId="0" borderId="0" xfId="2" applyNumberFormat="1" applyFont="1" applyAlignment="1" applyProtection="1">
      <alignment horizontal="left" vertical="center"/>
      <protection hidden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tabSelected="1" zoomScale="90" zoomScaleNormal="90" workbookViewId="0">
      <selection activeCell="G35" sqref="G35"/>
    </sheetView>
  </sheetViews>
  <sheetFormatPr defaultColWidth="9" defaultRowHeight="13" x14ac:dyDescent="0.55000000000000004"/>
  <cols>
    <col min="1" max="1" width="23.5" style="24" bestFit="1" customWidth="1"/>
    <col min="2" max="2" width="32.58203125" style="22" bestFit="1" customWidth="1"/>
    <col min="3" max="3" width="5.75" style="22" customWidth="1"/>
    <col min="4" max="4" width="5.5" style="22" customWidth="1"/>
    <col min="5" max="5" width="9.08203125" style="22" customWidth="1"/>
    <col min="6" max="6" width="11.75" style="22" bestFit="1" customWidth="1"/>
    <col min="7" max="7" width="10.58203125" style="22" bestFit="1" customWidth="1"/>
    <col min="8" max="8" width="8.33203125" style="22" bestFit="1" customWidth="1"/>
    <col min="9" max="10" width="9.33203125" style="22" bestFit="1" customWidth="1"/>
    <col min="11" max="11" width="9.08203125" style="22" customWidth="1"/>
    <col min="12" max="12" width="8.33203125" style="22" bestFit="1" customWidth="1"/>
    <col min="13" max="13" width="9.08203125" style="22" customWidth="1"/>
    <col min="14" max="16384" width="9" style="22"/>
  </cols>
  <sheetData>
    <row r="1" spans="1:13" s="23" customFormat="1" ht="32.5" x14ac:dyDescent="0.55000000000000004">
      <c r="A1" s="21" t="s">
        <v>64</v>
      </c>
      <c r="B1" s="22"/>
      <c r="C1" s="22"/>
      <c r="D1" s="22"/>
      <c r="E1" s="22"/>
      <c r="F1" s="22"/>
      <c r="G1" s="22"/>
      <c r="H1" s="22"/>
      <c r="I1" s="44" t="s">
        <v>65</v>
      </c>
      <c r="J1" s="44"/>
      <c r="K1" s="45">
        <f ca="1">TODAY()</f>
        <v>46126</v>
      </c>
      <c r="L1" s="45"/>
      <c r="M1" s="45"/>
    </row>
    <row r="2" spans="1:13" s="23" customFormat="1" x14ac:dyDescent="0.55000000000000004">
      <c r="A2" s="24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27" customFormat="1" ht="27.75" customHeight="1" x14ac:dyDescent="0.3">
      <c r="A3" s="25" t="s">
        <v>66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7" customFormat="1" ht="27.75" customHeight="1" x14ac:dyDescent="0.3">
      <c r="A4" s="25" t="s">
        <v>67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27" customFormat="1" ht="18.75" customHeight="1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s="27" customFormat="1" ht="18.75" customHeight="1" thickBot="1" x14ac:dyDescent="0.3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s="23" customFormat="1" ht="45.75" customHeight="1" thickBot="1" x14ac:dyDescent="0.4">
      <c r="A7" s="28" t="s">
        <v>81</v>
      </c>
      <c r="B7" s="29"/>
      <c r="C7" s="30" t="s">
        <v>68</v>
      </c>
      <c r="D7" s="31"/>
      <c r="E7" s="22"/>
      <c r="F7" s="22"/>
      <c r="G7" s="22"/>
      <c r="H7" s="22"/>
      <c r="I7" s="22"/>
      <c r="J7" s="22"/>
      <c r="K7" s="22"/>
      <c r="L7" s="22"/>
      <c r="M7" s="22"/>
    </row>
    <row r="8" spans="1:13" s="23" customFormat="1" ht="18.75" customHeight="1" thickBot="1" x14ac:dyDescent="0.4">
      <c r="A8" s="28"/>
      <c r="B8" s="40"/>
      <c r="C8" s="30"/>
      <c r="D8" s="31"/>
      <c r="E8" s="22"/>
      <c r="F8" s="22"/>
      <c r="G8" s="22"/>
      <c r="H8" s="22"/>
      <c r="I8" s="22"/>
      <c r="J8" s="22"/>
      <c r="K8" s="22"/>
      <c r="L8" s="22"/>
      <c r="M8" s="22"/>
    </row>
    <row r="9" spans="1:13" s="23" customFormat="1" ht="45.75" customHeight="1" thickBot="1" x14ac:dyDescent="0.4">
      <c r="A9" s="28" t="s">
        <v>82</v>
      </c>
      <c r="B9" s="29"/>
      <c r="C9" s="30" t="s">
        <v>68</v>
      </c>
      <c r="D9" s="31"/>
      <c r="E9" s="22"/>
      <c r="F9" s="22"/>
      <c r="G9" s="22"/>
      <c r="H9" s="22"/>
      <c r="I9" s="22"/>
      <c r="J9" s="22"/>
      <c r="K9" s="22"/>
      <c r="L9" s="22"/>
      <c r="M9" s="22"/>
    </row>
    <row r="10" spans="1:13" s="23" customFormat="1" ht="18.75" customHeight="1" thickBot="1" x14ac:dyDescent="0.6">
      <c r="A10" s="2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s="23" customFormat="1" ht="45.75" customHeight="1" thickBot="1" x14ac:dyDescent="0.4">
      <c r="A11" s="28" t="s">
        <v>69</v>
      </c>
      <c r="B11" s="32"/>
      <c r="C11" s="31" t="s">
        <v>70</v>
      </c>
      <c r="D11" s="30" t="s">
        <v>71</v>
      </c>
      <c r="E11" s="22"/>
      <c r="F11" s="22"/>
      <c r="G11" s="22"/>
      <c r="H11" s="22"/>
      <c r="I11" s="22"/>
      <c r="J11" s="22"/>
      <c r="K11" s="22"/>
      <c r="L11" s="22"/>
      <c r="M11" s="22"/>
    </row>
    <row r="12" spans="1:13" s="23" customFormat="1" ht="18.75" customHeight="1" thickBot="1" x14ac:dyDescent="0.6">
      <c r="A12" s="2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s="23" customFormat="1" ht="45.75" customHeight="1" thickBot="1" x14ac:dyDescent="0.6">
      <c r="A13" s="28" t="s">
        <v>72</v>
      </c>
      <c r="B13" s="33"/>
      <c r="C13" s="31" t="s">
        <v>73</v>
      </c>
      <c r="D13" s="22"/>
      <c r="E13" s="30" t="s">
        <v>74</v>
      </c>
      <c r="F13" s="22"/>
      <c r="G13" s="22"/>
      <c r="H13" s="22"/>
      <c r="I13" s="22"/>
      <c r="J13" s="22"/>
      <c r="K13" s="22"/>
      <c r="L13" s="22"/>
      <c r="M13" s="22"/>
    </row>
    <row r="14" spans="1:13" s="23" customFormat="1" ht="18.75" customHeight="1" x14ac:dyDescent="0.35">
      <c r="A14" s="28"/>
      <c r="B14" s="34"/>
      <c r="C14" s="31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s="23" customFormat="1" ht="18.75" customHeight="1" thickBot="1" x14ac:dyDescent="0.6">
      <c r="A15" s="28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s="23" customFormat="1" ht="45.75" customHeight="1" thickBot="1" x14ac:dyDescent="0.6">
      <c r="A16" s="43" t="s">
        <v>87</v>
      </c>
      <c r="B16" s="35" t="str">
        <f>IF(B13="","",改定額試算!B13)</f>
        <v/>
      </c>
      <c r="C16" s="36" t="s">
        <v>92</v>
      </c>
      <c r="D16" s="37"/>
      <c r="E16" s="22"/>
      <c r="F16" s="26" t="s">
        <v>75</v>
      </c>
      <c r="G16" s="22"/>
      <c r="H16" s="22"/>
      <c r="I16" s="22"/>
      <c r="J16" s="22"/>
      <c r="K16" s="22"/>
      <c r="L16" s="22"/>
      <c r="M16" s="22"/>
    </row>
    <row r="17" spans="1:13" s="23" customFormat="1" ht="18.75" customHeight="1" thickBot="1" x14ac:dyDescent="0.6">
      <c r="A17" s="28"/>
      <c r="B17" s="42"/>
      <c r="C17" s="36"/>
      <c r="D17" s="37"/>
      <c r="E17" s="22"/>
      <c r="F17" s="26"/>
      <c r="G17" s="22"/>
      <c r="H17" s="22"/>
      <c r="I17" s="22"/>
      <c r="J17" s="22"/>
      <c r="K17" s="22"/>
      <c r="L17" s="22"/>
      <c r="M17" s="22"/>
    </row>
    <row r="18" spans="1:13" s="23" customFormat="1" ht="45.75" customHeight="1" thickBot="1" x14ac:dyDescent="0.6">
      <c r="A18" s="43" t="s">
        <v>88</v>
      </c>
      <c r="B18" s="35" t="str">
        <f>IF(B13="","",改定額試算!B12)</f>
        <v/>
      </c>
      <c r="C18" s="36" t="s">
        <v>92</v>
      </c>
      <c r="D18" s="37"/>
      <c r="E18" s="22"/>
      <c r="F18" s="26"/>
      <c r="G18" s="22"/>
      <c r="H18" s="22"/>
      <c r="I18" s="22"/>
      <c r="J18" s="22"/>
      <c r="K18" s="22"/>
      <c r="L18" s="22"/>
      <c r="M18" s="22"/>
    </row>
    <row r="19" spans="1:13" s="23" customFormat="1" ht="18.75" customHeight="1" thickBot="1" x14ac:dyDescent="0.25">
      <c r="A19" s="28"/>
      <c r="B19" s="22"/>
      <c r="C19" s="22"/>
      <c r="D19" s="22"/>
      <c r="E19" s="22"/>
      <c r="F19" s="26"/>
      <c r="G19" s="22"/>
      <c r="H19" s="22"/>
      <c r="I19" s="22"/>
      <c r="J19" s="22"/>
      <c r="K19" s="22"/>
      <c r="L19" s="22"/>
      <c r="M19" s="22"/>
    </row>
    <row r="20" spans="1:13" s="23" customFormat="1" ht="45.75" customHeight="1" thickBot="1" x14ac:dyDescent="0.6">
      <c r="A20" s="28" t="s">
        <v>76</v>
      </c>
      <c r="B20" s="35" t="str">
        <f>IF(OR(B11="",B13=""),"",改定額試算!E12)</f>
        <v/>
      </c>
      <c r="C20" s="36" t="s">
        <v>92</v>
      </c>
      <c r="D20" s="22"/>
      <c r="E20" s="22"/>
      <c r="F20" s="26" t="s">
        <v>77</v>
      </c>
      <c r="G20" s="22"/>
      <c r="H20" s="22"/>
      <c r="I20" s="22"/>
      <c r="J20" s="22"/>
      <c r="K20" s="22"/>
      <c r="L20" s="22"/>
      <c r="M20" s="22"/>
    </row>
    <row r="21" spans="1:13" s="23" customFormat="1" ht="18.75" customHeight="1" x14ac:dyDescent="0.55000000000000004">
      <c r="A21" s="28"/>
      <c r="B21" s="42"/>
      <c r="C21" s="36"/>
      <c r="D21" s="22"/>
      <c r="E21" s="22"/>
      <c r="F21" s="26"/>
      <c r="G21" s="22"/>
      <c r="H21" s="22"/>
      <c r="I21" s="22"/>
      <c r="J21" s="22"/>
      <c r="K21" s="22"/>
      <c r="L21" s="22"/>
      <c r="M21" s="22"/>
    </row>
    <row r="22" spans="1:13" s="23" customFormat="1" ht="18.75" customHeight="1" thickBot="1" x14ac:dyDescent="0.6">
      <c r="A22" s="28"/>
      <c r="B22" s="38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s="23" customFormat="1" ht="45.75" customHeight="1" thickBot="1" x14ac:dyDescent="0.6">
      <c r="A23" s="43" t="s">
        <v>89</v>
      </c>
      <c r="B23" s="35" t="str">
        <f>IF(B13="","",IF(B11="",B16,B16+B20))</f>
        <v/>
      </c>
      <c r="C23" s="36" t="s">
        <v>92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3" s="23" customFormat="1" ht="18.75" customHeight="1" thickBot="1" x14ac:dyDescent="0.6">
      <c r="A24" s="43"/>
      <c r="B24" s="42"/>
      <c r="C24" s="36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s="23" customFormat="1" ht="45.75" customHeight="1" thickBot="1" x14ac:dyDescent="0.6">
      <c r="A25" s="43" t="s">
        <v>90</v>
      </c>
      <c r="B25" s="35" t="str">
        <f>IF(B13="","",IF(B11="",B18,B18+B20))</f>
        <v/>
      </c>
      <c r="C25" s="36" t="s">
        <v>92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13" s="23" customFormat="1" ht="18.75" customHeight="1" thickBot="1" x14ac:dyDescent="0.6">
      <c r="A26" s="28"/>
      <c r="B26" s="42"/>
      <c r="C26" s="36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3" s="23" customFormat="1" ht="45.75" customHeight="1" thickBot="1" x14ac:dyDescent="0.6">
      <c r="A27" s="43" t="s">
        <v>91</v>
      </c>
      <c r="B27" s="35" t="str">
        <f>IF(B13="","",IF(B11="",B16-B18,B23-B25))</f>
        <v/>
      </c>
      <c r="C27" s="36" t="s">
        <v>92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3" s="23" customFormat="1" ht="45.75" customHeight="1" x14ac:dyDescent="0.55000000000000004">
      <c r="A28" s="43"/>
      <c r="B28" s="42"/>
      <c r="C28" s="36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3" s="23" customFormat="1" ht="23.5" x14ac:dyDescent="0.55000000000000004">
      <c r="A29" s="24"/>
      <c r="B29" s="24"/>
      <c r="C29" s="24"/>
      <c r="D29" s="24"/>
      <c r="E29" s="24"/>
      <c r="F29" s="24"/>
      <c r="G29" s="24"/>
      <c r="H29" s="24"/>
      <c r="I29" s="22"/>
      <c r="J29" s="22"/>
      <c r="K29" s="22"/>
      <c r="L29" s="39" t="s">
        <v>78</v>
      </c>
      <c r="M29" s="22"/>
    </row>
    <row r="30" spans="1:13" s="23" customFormat="1" ht="23.5" x14ac:dyDescent="0.55000000000000004">
      <c r="A30" s="24"/>
      <c r="B30" s="24"/>
      <c r="C30" s="24"/>
      <c r="D30" s="24"/>
      <c r="E30" s="24"/>
      <c r="F30" s="24"/>
      <c r="G30" s="24"/>
      <c r="H30" s="24"/>
      <c r="I30" s="22"/>
      <c r="J30" s="22"/>
      <c r="K30" s="22"/>
      <c r="L30" s="39" t="s">
        <v>93</v>
      </c>
      <c r="M30" s="22"/>
    </row>
  </sheetData>
  <sheetProtection selectLockedCells="1"/>
  <mergeCells count="2">
    <mergeCell ref="I1:J1"/>
    <mergeCell ref="K1:M1"/>
  </mergeCells>
  <phoneticPr fontId="2"/>
  <dataValidations count="3">
    <dataValidation type="list" allowBlank="1" showInputMessage="1" showErrorMessage="1" sqref="B11" xr:uid="{00000000-0002-0000-0000-000000000000}">
      <formula1>"13,20,25,40,50,75,100,150,200,250,300"</formula1>
    </dataValidation>
    <dataValidation type="list" allowBlank="1" showInputMessage="1" showErrorMessage="1" sqref="B9" xr:uid="{00000000-0002-0000-0000-000001000000}">
      <formula1>"家事用,業務用,公衆浴場用,プール用"</formula1>
    </dataValidation>
    <dataValidation type="list" allowBlank="1" showInputMessage="1" showErrorMessage="1" sqref="B7" xr:uid="{00000000-0002-0000-0000-000002000000}">
      <formula1>"一般家庭汚水,業務用汚水,公衆浴場汚水,プール及び土木工事による汚水"</formula1>
    </dataValidation>
  </dataValidations>
  <pageMargins left="0.78740157480314965" right="0.78740157480314965" top="0.78740157480314965" bottom="0.78740157480314965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="80" zoomScaleNormal="80" workbookViewId="0">
      <selection activeCell="F19" sqref="F19"/>
    </sheetView>
  </sheetViews>
  <sheetFormatPr defaultRowHeight="18" x14ac:dyDescent="0.55000000000000004"/>
  <cols>
    <col min="1" max="1" width="22.5" customWidth="1"/>
    <col min="2" max="12" width="13.58203125" customWidth="1"/>
  </cols>
  <sheetData>
    <row r="1" spans="1:8" ht="18.5" thickBot="1" x14ac:dyDescent="0.6"/>
    <row r="2" spans="1:8" ht="18.5" thickBot="1" x14ac:dyDescent="0.6">
      <c r="A2" t="s">
        <v>79</v>
      </c>
      <c r="B2" s="14">
        <f>使用料計算機!B7</f>
        <v>0</v>
      </c>
    </row>
    <row r="3" spans="1:8" ht="18.5" thickBot="1" x14ac:dyDescent="0.6">
      <c r="A3" t="s">
        <v>80</v>
      </c>
      <c r="B3" s="14">
        <f>使用料計算機!B9</f>
        <v>0</v>
      </c>
    </row>
    <row r="4" spans="1:8" ht="18.5" thickBot="1" x14ac:dyDescent="0.6">
      <c r="A4" t="s">
        <v>50</v>
      </c>
      <c r="B4" s="10">
        <f>使用料計算機!B11</f>
        <v>0</v>
      </c>
      <c r="C4" t="s">
        <v>49</v>
      </c>
    </row>
    <row r="5" spans="1:8" ht="18.5" thickBot="1" x14ac:dyDescent="0.6">
      <c r="A5" t="s">
        <v>19</v>
      </c>
      <c r="B5" s="10">
        <f>使用料計算機!B13</f>
        <v>0</v>
      </c>
      <c r="C5" t="s">
        <v>8</v>
      </c>
    </row>
    <row r="6" spans="1:8" x14ac:dyDescent="0.55000000000000004">
      <c r="B6" s="12"/>
    </row>
    <row r="7" spans="1:8" s="11" customFormat="1" x14ac:dyDescent="0.55000000000000004">
      <c r="A7" s="11" t="s">
        <v>53</v>
      </c>
      <c r="B7" s="12"/>
      <c r="D7" s="11" t="s">
        <v>54</v>
      </c>
      <c r="G7" s="11" t="s">
        <v>63</v>
      </c>
    </row>
    <row r="8" spans="1:8" s="11" customFormat="1" x14ac:dyDescent="0.55000000000000004">
      <c r="A8" s="19" t="s">
        <v>30</v>
      </c>
      <c r="B8" s="3">
        <f>IF(B2="一般家庭汚水",I19,IF(B2="業務用汚水",L24,IF(B2="公衆浴場汚水",G29,C34)))</f>
        <v>0</v>
      </c>
      <c r="D8" s="20" t="s">
        <v>55</v>
      </c>
      <c r="E8" s="18" t="e">
        <f>IF(B3="家事用",I40,IF(B3="業務用",J44,IF(B3="公衆浴場用",F48,E52)))</f>
        <v>#N/A</v>
      </c>
      <c r="G8" s="19" t="s">
        <v>30</v>
      </c>
      <c r="H8" s="3" t="e">
        <f>B8+E8</f>
        <v>#N/A</v>
      </c>
    </row>
    <row r="9" spans="1:8" s="11" customFormat="1" x14ac:dyDescent="0.55000000000000004">
      <c r="A9" s="19" t="s">
        <v>31</v>
      </c>
      <c r="B9" s="3">
        <f>IF(B2="一般家庭汚水",I20,IF(B2="業務用汚水",L25,IF(B2="公衆浴場汚水",G30,C35)))</f>
        <v>0</v>
      </c>
      <c r="G9" s="19" t="s">
        <v>31</v>
      </c>
      <c r="H9" s="3" t="e">
        <f>B9+E8</f>
        <v>#N/A</v>
      </c>
    </row>
    <row r="10" spans="1:8" s="11" customFormat="1" x14ac:dyDescent="0.55000000000000004">
      <c r="A10" s="19" t="s">
        <v>5</v>
      </c>
      <c r="B10" s="3">
        <f>B9-B8</f>
        <v>0</v>
      </c>
      <c r="G10" s="19" t="s">
        <v>5</v>
      </c>
      <c r="H10" s="3" t="e">
        <f>H9-H8</f>
        <v>#N/A</v>
      </c>
    </row>
    <row r="11" spans="1:8" s="11" customFormat="1" x14ac:dyDescent="0.55000000000000004">
      <c r="B11" s="12"/>
      <c r="H11" s="12"/>
    </row>
    <row r="12" spans="1:8" x14ac:dyDescent="0.55000000000000004">
      <c r="A12" s="19" t="s">
        <v>10</v>
      </c>
      <c r="B12" s="3">
        <f>ROUNDDOWN(B8*1.1,0)</f>
        <v>0</v>
      </c>
      <c r="D12" s="19" t="s">
        <v>56</v>
      </c>
      <c r="E12" s="3" t="e">
        <f>ROUNDDOWN(E8*1.1,0)</f>
        <v>#N/A</v>
      </c>
      <c r="G12" s="19" t="s">
        <v>10</v>
      </c>
      <c r="H12" s="3" t="e">
        <f>B12+E12</f>
        <v>#N/A</v>
      </c>
    </row>
    <row r="13" spans="1:8" x14ac:dyDescent="0.55000000000000004">
      <c r="A13" s="19" t="s">
        <v>11</v>
      </c>
      <c r="B13" s="3">
        <f>ROUNDDOWN(B9*1.1,0)</f>
        <v>0</v>
      </c>
      <c r="G13" s="19" t="s">
        <v>11</v>
      </c>
      <c r="H13" s="3" t="e">
        <f>B13+E12</f>
        <v>#N/A</v>
      </c>
    </row>
    <row r="14" spans="1:8" x14ac:dyDescent="0.55000000000000004">
      <c r="A14" s="19" t="s">
        <v>5</v>
      </c>
      <c r="B14" s="3">
        <f>B13-B12</f>
        <v>0</v>
      </c>
      <c r="G14" s="19" t="s">
        <v>5</v>
      </c>
      <c r="H14" s="3" t="e">
        <f>H13-H12</f>
        <v>#N/A</v>
      </c>
    </row>
    <row r="16" spans="1:8" x14ac:dyDescent="0.55000000000000004">
      <c r="A16" t="s">
        <v>46</v>
      </c>
    </row>
    <row r="17" spans="1:12" x14ac:dyDescent="0.55000000000000004">
      <c r="A17" s="2" t="s">
        <v>83</v>
      </c>
      <c r="B17" s="2" t="s">
        <v>12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 t="s">
        <v>9</v>
      </c>
    </row>
    <row r="18" spans="1:12" x14ac:dyDescent="0.55000000000000004">
      <c r="A18" s="1" t="s">
        <v>20</v>
      </c>
      <c r="B18" s="3">
        <f>IF(B5&gt;12,B5-H18-G18-F18-E18-D18-C18,B5)</f>
        <v>0</v>
      </c>
      <c r="C18" s="3">
        <f>IF(B5&gt;12,B5-H18-G18-F18-E18-D18-12,0)</f>
        <v>0</v>
      </c>
      <c r="D18" s="3">
        <f>IF(B5&gt;20,B5-H18-G18-F18-E18-20,0)</f>
        <v>0</v>
      </c>
      <c r="E18" s="3">
        <f>IF(B5&gt;30,B5-H18-G18-F18-30,0)</f>
        <v>0</v>
      </c>
      <c r="F18" s="3">
        <f>IF(B5&gt;40,B5-H18-G18-40,0)</f>
        <v>0</v>
      </c>
      <c r="G18" s="3">
        <f>IF(B5&gt;80,B5-H18-80,0)</f>
        <v>0</v>
      </c>
      <c r="H18" s="3">
        <f>IF(B5&gt;200,B5-200,0)</f>
        <v>0</v>
      </c>
      <c r="I18" s="3">
        <f>SUM(B18:H18)</f>
        <v>0</v>
      </c>
    </row>
    <row r="19" spans="1:12" x14ac:dyDescent="0.55000000000000004">
      <c r="A19" s="1" t="s">
        <v>21</v>
      </c>
      <c r="B19" s="3">
        <f>下水道料金!M3</f>
        <v>1390</v>
      </c>
      <c r="C19" s="3">
        <f>C18*下水道料金!M4</f>
        <v>0</v>
      </c>
      <c r="D19" s="3">
        <f>D18*下水道料金!M5</f>
        <v>0</v>
      </c>
      <c r="E19" s="3">
        <f>E18*下水道料金!M6</f>
        <v>0</v>
      </c>
      <c r="F19" s="3">
        <f>F18*下水道料金!M7</f>
        <v>0</v>
      </c>
      <c r="G19" s="3">
        <f>G18*下水道料金!M8</f>
        <v>0</v>
      </c>
      <c r="H19" s="3">
        <f>H18*下水道料金!M9</f>
        <v>0</v>
      </c>
      <c r="I19" s="3">
        <f>SUM(B19:H19)</f>
        <v>1390</v>
      </c>
    </row>
    <row r="20" spans="1:12" x14ac:dyDescent="0.55000000000000004">
      <c r="A20" s="1" t="s">
        <v>22</v>
      </c>
      <c r="B20" s="3">
        <f>下水道料金!N3</f>
        <v>1560</v>
      </c>
      <c r="C20" s="3">
        <f>C18*下水道料金!N4</f>
        <v>0</v>
      </c>
      <c r="D20" s="3">
        <f>D18*下水道料金!N5</f>
        <v>0</v>
      </c>
      <c r="E20" s="3">
        <f>E18*下水道料金!N6</f>
        <v>0</v>
      </c>
      <c r="F20" s="3">
        <f>F18*下水道料金!N7</f>
        <v>0</v>
      </c>
      <c r="G20" s="3">
        <f>G18*下水道料金!N8</f>
        <v>0</v>
      </c>
      <c r="H20" s="3">
        <f>H18*下水道料金!N9</f>
        <v>0</v>
      </c>
      <c r="I20" s="3">
        <f>SUM(B20:H20)</f>
        <v>1560</v>
      </c>
    </row>
    <row r="22" spans="1:12" x14ac:dyDescent="0.55000000000000004">
      <c r="A22" s="2" t="s">
        <v>84</v>
      </c>
      <c r="B22" s="2" t="s">
        <v>12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13" t="s">
        <v>26</v>
      </c>
      <c r="I22" s="13" t="s">
        <v>27</v>
      </c>
      <c r="J22" s="13" t="s">
        <v>28</v>
      </c>
      <c r="K22" s="13" t="s">
        <v>29</v>
      </c>
      <c r="L22" s="2" t="s">
        <v>9</v>
      </c>
    </row>
    <row r="23" spans="1:12" x14ac:dyDescent="0.55000000000000004">
      <c r="A23" s="1" t="s">
        <v>20</v>
      </c>
      <c r="B23" s="3">
        <f>IF(B5&gt;12,B5-K23-J23-I23-H23-G23-F23-E23-D23-C23,B5)</f>
        <v>0</v>
      </c>
      <c r="C23" s="3">
        <f>IF(B5&gt;12,B5-K23-J23-I23-H23-G23-F23-E23-D23-12,0)</f>
        <v>0</v>
      </c>
      <c r="D23" s="3">
        <f>IF(B5&gt;20,B5-K23-J23-I23-H23-G23-F23-E23-20,0)</f>
        <v>0</v>
      </c>
      <c r="E23" s="3">
        <f>IF(B5&gt;30,B5-K23-J23-I23-H23-G23-F23-30,0)</f>
        <v>0</v>
      </c>
      <c r="F23" s="3">
        <f>IF(B5&gt;40,B5-K23-J23-I23-H23-G23-40,0)</f>
        <v>0</v>
      </c>
      <c r="G23" s="3">
        <f>IF(B5&gt;80,B5-K23-J23-I23-H23-80,0)</f>
        <v>0</v>
      </c>
      <c r="H23" s="3">
        <f>IF(B5&gt;200,B5-K23-J23-I23-200,0)</f>
        <v>0</v>
      </c>
      <c r="I23" s="3">
        <f>IF(B5&gt;400,B5-K23-J23-400,0)</f>
        <v>0</v>
      </c>
      <c r="J23" s="3">
        <f>IF(B5&gt;1000,B5-K23-1000,0)</f>
        <v>0</v>
      </c>
      <c r="K23" s="3">
        <f>IF(B5&gt;2000,B5-2000,0)</f>
        <v>0</v>
      </c>
      <c r="L23" s="3">
        <f>SUM(B23:K23)</f>
        <v>0</v>
      </c>
    </row>
    <row r="24" spans="1:12" x14ac:dyDescent="0.55000000000000004">
      <c r="A24" s="1" t="s">
        <v>21</v>
      </c>
      <c r="B24" s="3">
        <f>下水道料金!M12</f>
        <v>1390</v>
      </c>
      <c r="C24" s="3">
        <f>C23*下水道料金!M13</f>
        <v>0</v>
      </c>
      <c r="D24" s="3">
        <f>D23*下水道料金!M14</f>
        <v>0</v>
      </c>
      <c r="E24" s="3">
        <f>E23*下水道料金!M15</f>
        <v>0</v>
      </c>
      <c r="F24" s="3">
        <f>F23*下水道料金!M16</f>
        <v>0</v>
      </c>
      <c r="G24" s="3">
        <f>G23*下水道料金!M17</f>
        <v>0</v>
      </c>
      <c r="H24" s="3">
        <f>H23*下水道料金!M18</f>
        <v>0</v>
      </c>
      <c r="I24" s="3">
        <f>I23*下水道料金!M19</f>
        <v>0</v>
      </c>
      <c r="J24" s="3">
        <f>J23*下水道料金!M20</f>
        <v>0</v>
      </c>
      <c r="K24" s="3">
        <f>K23*下水道料金!M21</f>
        <v>0</v>
      </c>
      <c r="L24" s="3">
        <f t="shared" ref="L24:L25" si="0">SUM(B24:K24)</f>
        <v>1390</v>
      </c>
    </row>
    <row r="25" spans="1:12" x14ac:dyDescent="0.55000000000000004">
      <c r="A25" s="1" t="s">
        <v>22</v>
      </c>
      <c r="B25" s="3">
        <f>下水道料金!N12</f>
        <v>1560</v>
      </c>
      <c r="C25" s="3">
        <f>C23*下水道料金!N13</f>
        <v>0</v>
      </c>
      <c r="D25" s="3">
        <f>D23*下水道料金!N14</f>
        <v>0</v>
      </c>
      <c r="E25" s="3">
        <f>E23*下水道料金!N15</f>
        <v>0</v>
      </c>
      <c r="F25" s="3">
        <f>F23*下水道料金!N16</f>
        <v>0</v>
      </c>
      <c r="G25" s="3">
        <f>G23*下水道料金!N17</f>
        <v>0</v>
      </c>
      <c r="H25" s="3">
        <f>H23*下水道料金!N18</f>
        <v>0</v>
      </c>
      <c r="I25" s="3">
        <f>I23*下水道料金!N19</f>
        <v>0</v>
      </c>
      <c r="J25" s="3">
        <f>J23*下水道料金!N20</f>
        <v>0</v>
      </c>
      <c r="K25" s="3">
        <f>K23*下水道料金!N21</f>
        <v>0</v>
      </c>
      <c r="L25" s="3">
        <f t="shared" si="0"/>
        <v>1560</v>
      </c>
    </row>
    <row r="27" spans="1:12" x14ac:dyDescent="0.55000000000000004">
      <c r="A27" s="2" t="s">
        <v>85</v>
      </c>
      <c r="B27" s="2" t="s">
        <v>12</v>
      </c>
      <c r="C27" s="2" t="s">
        <v>13</v>
      </c>
      <c r="D27" s="2" t="s">
        <v>14</v>
      </c>
      <c r="E27" s="2" t="s">
        <v>15</v>
      </c>
      <c r="F27" s="2" t="s">
        <v>33</v>
      </c>
      <c r="G27" s="2" t="s">
        <v>9</v>
      </c>
    </row>
    <row r="28" spans="1:12" x14ac:dyDescent="0.55000000000000004">
      <c r="A28" s="1" t="s">
        <v>20</v>
      </c>
      <c r="B28" s="3">
        <f>IF(B5&gt;12,B5-F28-E28-D28-C28,B5)</f>
        <v>0</v>
      </c>
      <c r="C28" s="3">
        <f>IF(B5&gt;12,B5-F28-E28-D28-12,0)</f>
        <v>0</v>
      </c>
      <c r="D28" s="3">
        <f>IF(B5&gt;20,B5-F28-E28-20,0)</f>
        <v>0</v>
      </c>
      <c r="E28" s="3">
        <f>IF(B5&gt;30,B5-F28-30,0)</f>
        <v>0</v>
      </c>
      <c r="F28" s="3">
        <f>IF(B5&gt;40,B5-40,0)</f>
        <v>0</v>
      </c>
      <c r="G28" s="3">
        <f>SUM(B28:F28)</f>
        <v>0</v>
      </c>
    </row>
    <row r="29" spans="1:12" x14ac:dyDescent="0.55000000000000004">
      <c r="A29" s="1" t="s">
        <v>21</v>
      </c>
      <c r="B29" s="3">
        <f>下水道料金!M24</f>
        <v>1390</v>
      </c>
      <c r="C29" s="3">
        <f>C28*下水道料金!M25</f>
        <v>0</v>
      </c>
      <c r="D29" s="3">
        <f>D28*下水道料金!M26</f>
        <v>0</v>
      </c>
      <c r="E29" s="3">
        <f>E28*下水道料金!M27</f>
        <v>0</v>
      </c>
      <c r="F29" s="3">
        <f>F28*下水道料金!M28</f>
        <v>0</v>
      </c>
      <c r="G29" s="3">
        <f t="shared" ref="G29:G30" si="1">SUM(B29:F29)</f>
        <v>1390</v>
      </c>
    </row>
    <row r="30" spans="1:12" x14ac:dyDescent="0.55000000000000004">
      <c r="A30" s="1" t="s">
        <v>22</v>
      </c>
      <c r="B30" s="3">
        <f>下水道料金!N24</f>
        <v>1560</v>
      </c>
      <c r="C30" s="3">
        <f>C28*下水道料金!N25</f>
        <v>0</v>
      </c>
      <c r="D30" s="3">
        <f>D28*下水道料金!N26</f>
        <v>0</v>
      </c>
      <c r="E30" s="3">
        <f>E28*下水道料金!N27</f>
        <v>0</v>
      </c>
      <c r="F30" s="3">
        <f>F28*下水道料金!N28</f>
        <v>0</v>
      </c>
      <c r="G30" s="3">
        <f t="shared" si="1"/>
        <v>1560</v>
      </c>
    </row>
    <row r="32" spans="1:12" x14ac:dyDescent="0.55000000000000004">
      <c r="A32" s="41" t="s">
        <v>86</v>
      </c>
      <c r="B32" s="2" t="s">
        <v>32</v>
      </c>
      <c r="C32" s="2" t="s">
        <v>9</v>
      </c>
    </row>
    <row r="33" spans="1:10" x14ac:dyDescent="0.55000000000000004">
      <c r="A33" s="1" t="s">
        <v>20</v>
      </c>
      <c r="B33" s="3">
        <f>B5</f>
        <v>0</v>
      </c>
      <c r="C33" s="3">
        <f>SUM(B33)</f>
        <v>0</v>
      </c>
    </row>
    <row r="34" spans="1:10" x14ac:dyDescent="0.55000000000000004">
      <c r="A34" s="1" t="s">
        <v>21</v>
      </c>
      <c r="B34" s="3">
        <f>B33*下水道料金!M31</f>
        <v>0</v>
      </c>
      <c r="C34" s="3">
        <f t="shared" ref="C34:C35" si="2">SUM(B34)</f>
        <v>0</v>
      </c>
    </row>
    <row r="35" spans="1:10" x14ac:dyDescent="0.55000000000000004">
      <c r="A35" s="1" t="s">
        <v>22</v>
      </c>
      <c r="B35" s="3">
        <f>B33*下水道料金!N31</f>
        <v>0</v>
      </c>
      <c r="C35" s="3">
        <f t="shared" si="2"/>
        <v>0</v>
      </c>
    </row>
    <row r="37" spans="1:10" x14ac:dyDescent="0.55000000000000004">
      <c r="A37" t="s">
        <v>47</v>
      </c>
    </row>
    <row r="38" spans="1:10" x14ac:dyDescent="0.55000000000000004">
      <c r="A38" s="2" t="s">
        <v>48</v>
      </c>
      <c r="B38" s="2" t="s">
        <v>0</v>
      </c>
      <c r="C38" s="2" t="s">
        <v>51</v>
      </c>
      <c r="D38" s="2" t="s">
        <v>14</v>
      </c>
      <c r="E38" s="2" t="s">
        <v>15</v>
      </c>
      <c r="F38" s="2" t="s">
        <v>16</v>
      </c>
      <c r="G38" s="2" t="s">
        <v>17</v>
      </c>
      <c r="H38" s="2" t="s">
        <v>18</v>
      </c>
      <c r="I38" s="2" t="s">
        <v>9</v>
      </c>
    </row>
    <row r="39" spans="1:10" x14ac:dyDescent="0.55000000000000004">
      <c r="A39" s="1" t="s">
        <v>20</v>
      </c>
      <c r="B39" s="17"/>
      <c r="C39" s="3">
        <f>IF(B5&gt;20,B5-H39-G39-F39-E39-D39,B5)</f>
        <v>0</v>
      </c>
      <c r="D39" s="3">
        <f>IF(B5&gt;20,B5-H39-G39-F39-E39-20,0)</f>
        <v>0</v>
      </c>
      <c r="E39" s="3">
        <f>IF(B5&gt;30,B5-H39-G39-F39-30,0)</f>
        <v>0</v>
      </c>
      <c r="F39" s="3">
        <f>IF(B5&gt;40,B5-H39-G39-40,0)</f>
        <v>0</v>
      </c>
      <c r="G39" s="3">
        <f>IF(B5&gt;80,B5-H39-80,0)</f>
        <v>0</v>
      </c>
      <c r="H39" s="3">
        <f>IF(B5&gt;200,B5-200,0)</f>
        <v>0</v>
      </c>
      <c r="I39" s="3">
        <f>SUM(B39:H39)</f>
        <v>0</v>
      </c>
    </row>
    <row r="40" spans="1:10" x14ac:dyDescent="0.55000000000000004">
      <c r="A40" s="1" t="s">
        <v>52</v>
      </c>
      <c r="B40" s="3" t="e">
        <f>VLOOKUP(B4,水道料金!I5:J15,2,0)</f>
        <v>#N/A</v>
      </c>
      <c r="C40" s="3">
        <f>C39*水道料金!O5</f>
        <v>0</v>
      </c>
      <c r="D40" s="3">
        <f>D39*水道料金!O6</f>
        <v>0</v>
      </c>
      <c r="E40" s="3">
        <f>E39*水道料金!O7</f>
        <v>0</v>
      </c>
      <c r="F40" s="3">
        <f>F39*水道料金!O8</f>
        <v>0</v>
      </c>
      <c r="G40" s="3">
        <f>G39*水道料金!O9</f>
        <v>0</v>
      </c>
      <c r="H40" s="3">
        <f>H39*水道料金!O10</f>
        <v>0</v>
      </c>
      <c r="I40" s="3" t="e">
        <f>SUM(B40:H40)</f>
        <v>#N/A</v>
      </c>
    </row>
    <row r="42" spans="1:10" x14ac:dyDescent="0.55000000000000004">
      <c r="A42" s="2" t="s">
        <v>57</v>
      </c>
      <c r="B42" s="2" t="s">
        <v>0</v>
      </c>
      <c r="C42" s="2" t="s">
        <v>51</v>
      </c>
      <c r="D42" s="2" t="s">
        <v>14</v>
      </c>
      <c r="E42" s="2" t="s">
        <v>15</v>
      </c>
      <c r="F42" s="2" t="s">
        <v>16</v>
      </c>
      <c r="G42" s="2" t="s">
        <v>17</v>
      </c>
      <c r="H42" s="2" t="s">
        <v>26</v>
      </c>
      <c r="I42" s="2" t="s">
        <v>58</v>
      </c>
      <c r="J42" s="2" t="s">
        <v>9</v>
      </c>
    </row>
    <row r="43" spans="1:10" x14ac:dyDescent="0.55000000000000004">
      <c r="A43" s="1" t="s">
        <v>20</v>
      </c>
      <c r="B43" s="17"/>
      <c r="C43" s="3">
        <f>IF(B5&gt;20,B5-I43-H43-G43-F43-E43-D43,B5)</f>
        <v>0</v>
      </c>
      <c r="D43" s="3">
        <f>IF(B5&gt;20,B5-I43-H43-G43-F43-E43-20,0)</f>
        <v>0</v>
      </c>
      <c r="E43" s="3">
        <f>IF(B5&gt;30,B5-I43-H43-G43-F43-30,0)</f>
        <v>0</v>
      </c>
      <c r="F43" s="3">
        <f>IF(B5&gt;40,B5-I43-H43-G43-40,0)</f>
        <v>0</v>
      </c>
      <c r="G43" s="3">
        <f>IF(B5&gt;80,B5-I43-H43-80,0)</f>
        <v>0</v>
      </c>
      <c r="H43" s="3">
        <f>IF(B5&gt;200,B5-I43-200,0)</f>
        <v>0</v>
      </c>
      <c r="I43" s="3">
        <f>IF(B5&gt;400,B5-400,0)</f>
        <v>0</v>
      </c>
      <c r="J43" s="3">
        <f>SUM(B43:I43)</f>
        <v>0</v>
      </c>
    </row>
    <row r="44" spans="1:10" x14ac:dyDescent="0.55000000000000004">
      <c r="A44" s="1" t="s">
        <v>52</v>
      </c>
      <c r="B44" s="3" t="e">
        <f>VLOOKUP(B4,水道料金!I5:J15,2,0)</f>
        <v>#N/A</v>
      </c>
      <c r="C44" s="3">
        <f>C43*水道料金!O13</f>
        <v>0</v>
      </c>
      <c r="D44" s="3">
        <f>D43*水道料金!O14</f>
        <v>0</v>
      </c>
      <c r="E44" s="3">
        <f>E43*水道料金!O15</f>
        <v>0</v>
      </c>
      <c r="F44" s="3">
        <f>F43*水道料金!O16</f>
        <v>0</v>
      </c>
      <c r="G44" s="3">
        <f>G43*水道料金!O17</f>
        <v>0</v>
      </c>
      <c r="H44" s="3">
        <f>H43*水道料金!O18</f>
        <v>0</v>
      </c>
      <c r="I44" s="3">
        <f>I43*水道料金!O19</f>
        <v>0</v>
      </c>
      <c r="J44" s="3" t="e">
        <f>SUM(B44:I44)</f>
        <v>#N/A</v>
      </c>
    </row>
    <row r="46" spans="1:10" x14ac:dyDescent="0.55000000000000004">
      <c r="A46" s="2" t="s">
        <v>59</v>
      </c>
      <c r="B46" s="2" t="s">
        <v>0</v>
      </c>
      <c r="C46" s="2" t="s">
        <v>51</v>
      </c>
      <c r="D46" s="2" t="s">
        <v>14</v>
      </c>
      <c r="E46" s="2" t="s">
        <v>61</v>
      </c>
      <c r="F46" s="2" t="s">
        <v>9</v>
      </c>
    </row>
    <row r="47" spans="1:10" x14ac:dyDescent="0.55000000000000004">
      <c r="A47" s="1" t="s">
        <v>20</v>
      </c>
      <c r="B47" s="17"/>
      <c r="C47" s="3">
        <f>IF(B5&gt;20,B5-E47-D47,B5)</f>
        <v>0</v>
      </c>
      <c r="D47" s="3">
        <f>IF(B5&gt;20,B5-E47-20,0)</f>
        <v>0</v>
      </c>
      <c r="E47" s="3">
        <f>IF(B5&gt;30,B5-30,0)</f>
        <v>0</v>
      </c>
      <c r="F47" s="3">
        <f>SUM(B47:E47)</f>
        <v>0</v>
      </c>
    </row>
    <row r="48" spans="1:10" x14ac:dyDescent="0.55000000000000004">
      <c r="A48" s="1" t="s">
        <v>52</v>
      </c>
      <c r="B48" s="3" t="e">
        <f>VLOOKUP(B4,水道料金!I5:J15,2,0)</f>
        <v>#N/A</v>
      </c>
      <c r="C48" s="3">
        <f>C47*水道料金!O22</f>
        <v>0</v>
      </c>
      <c r="D48" s="3">
        <f>D47*水道料金!O23</f>
        <v>0</v>
      </c>
      <c r="E48" s="3">
        <f>E47*水道料金!O24</f>
        <v>0</v>
      </c>
      <c r="F48" s="3" t="e">
        <f>SUM(B48:E48)</f>
        <v>#N/A</v>
      </c>
    </row>
    <row r="50" spans="1:5" x14ac:dyDescent="0.55000000000000004">
      <c r="A50" s="2" t="s">
        <v>62</v>
      </c>
      <c r="B50" s="2" t="s">
        <v>0</v>
      </c>
      <c r="C50" s="2" t="s">
        <v>51</v>
      </c>
      <c r="D50" s="2" t="s">
        <v>60</v>
      </c>
      <c r="E50" s="2" t="s">
        <v>9</v>
      </c>
    </row>
    <row r="51" spans="1:5" x14ac:dyDescent="0.55000000000000004">
      <c r="A51" s="1" t="s">
        <v>20</v>
      </c>
      <c r="B51" s="17"/>
      <c r="C51" s="3">
        <f>IF(B5&gt;20,B5-D51,B5)</f>
        <v>0</v>
      </c>
      <c r="D51" s="3">
        <f>IF(B5&gt;20,B5-20,0)</f>
        <v>0</v>
      </c>
      <c r="E51" s="3">
        <f>SUM(B51:D51)</f>
        <v>0</v>
      </c>
    </row>
    <row r="52" spans="1:5" x14ac:dyDescent="0.55000000000000004">
      <c r="A52" s="1" t="s">
        <v>52</v>
      </c>
      <c r="B52" s="3" t="e">
        <f>VLOOKUP(B4,水道料金!I5:J15,2,0)</f>
        <v>#N/A</v>
      </c>
      <c r="C52" s="3">
        <f>C51*水道料金!O27</f>
        <v>0</v>
      </c>
      <c r="D52" s="3">
        <f>D51*水道料金!O28</f>
        <v>0</v>
      </c>
      <c r="E52" s="3" t="e">
        <f>SUM(B52:D52)</f>
        <v>#N/A</v>
      </c>
    </row>
  </sheetData>
  <phoneticPr fontId="2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zoomScale="90" zoomScaleNormal="90" workbookViewId="0">
      <selection activeCell="F19" sqref="F19"/>
    </sheetView>
  </sheetViews>
  <sheetFormatPr defaultRowHeight="18" x14ac:dyDescent="0.55000000000000004"/>
  <cols>
    <col min="1" max="1" width="11.83203125" customWidth="1"/>
    <col min="3" max="3" width="3.08203125" customWidth="1"/>
    <col min="9" max="9" width="11.83203125" customWidth="1"/>
    <col min="11" max="11" width="3.08203125" customWidth="1"/>
  </cols>
  <sheetData>
    <row r="1" spans="1:16" x14ac:dyDescent="0.55000000000000004">
      <c r="A1" s="49" t="s">
        <v>24</v>
      </c>
      <c r="B1" s="49"/>
      <c r="C1" s="49"/>
      <c r="D1" s="49"/>
      <c r="E1" s="49"/>
      <c r="F1" s="49"/>
      <c r="G1" s="49"/>
      <c r="I1" s="49" t="s">
        <v>23</v>
      </c>
      <c r="J1" s="49"/>
      <c r="K1" s="49"/>
      <c r="L1" s="49"/>
      <c r="M1" s="49"/>
      <c r="N1" s="49"/>
      <c r="O1" s="49"/>
      <c r="P1" s="7"/>
    </row>
    <row r="2" spans="1:16" x14ac:dyDescent="0.55000000000000004">
      <c r="A2" t="s">
        <v>34</v>
      </c>
      <c r="B2" s="4" t="s">
        <v>25</v>
      </c>
      <c r="C2" s="4"/>
      <c r="D2" s="4"/>
      <c r="E2" s="5" t="s">
        <v>3</v>
      </c>
      <c r="F2" s="5" t="s">
        <v>4</v>
      </c>
      <c r="G2" s="5" t="s">
        <v>5</v>
      </c>
      <c r="I2" t="s">
        <v>34</v>
      </c>
      <c r="J2" s="4" t="s">
        <v>25</v>
      </c>
      <c r="K2" s="4"/>
      <c r="L2" s="4"/>
      <c r="M2" s="5" t="s">
        <v>3</v>
      </c>
      <c r="N2" s="5" t="s">
        <v>4</v>
      </c>
      <c r="O2" s="5" t="s">
        <v>5</v>
      </c>
      <c r="P2" s="5"/>
    </row>
    <row r="3" spans="1:16" x14ac:dyDescent="0.55000000000000004">
      <c r="A3" s="6" t="s">
        <v>0</v>
      </c>
      <c r="B3" s="3"/>
      <c r="C3" s="9" t="s">
        <v>2</v>
      </c>
      <c r="D3" s="3">
        <v>6</v>
      </c>
      <c r="E3" s="3">
        <v>695</v>
      </c>
      <c r="F3" s="3">
        <v>780</v>
      </c>
      <c r="G3" s="3">
        <f>F3-E3</f>
        <v>85</v>
      </c>
      <c r="I3" s="6" t="s">
        <v>0</v>
      </c>
      <c r="J3" s="3"/>
      <c r="K3" s="9" t="s">
        <v>2</v>
      </c>
      <c r="L3" s="3">
        <v>12</v>
      </c>
      <c r="M3" s="3">
        <v>1390</v>
      </c>
      <c r="N3" s="3">
        <v>1560</v>
      </c>
      <c r="O3" s="3">
        <f>N3-M3</f>
        <v>170</v>
      </c>
      <c r="P3" s="8"/>
    </row>
    <row r="4" spans="1:16" x14ac:dyDescent="0.55000000000000004">
      <c r="A4" s="46" t="s">
        <v>1</v>
      </c>
      <c r="B4" s="3">
        <v>7</v>
      </c>
      <c r="C4" s="9" t="s">
        <v>2</v>
      </c>
      <c r="D4" s="3">
        <v>10</v>
      </c>
      <c r="E4" s="3">
        <v>5</v>
      </c>
      <c r="F4" s="3">
        <v>20</v>
      </c>
      <c r="G4" s="3">
        <f t="shared" ref="G4:G9" si="0">F4-E4</f>
        <v>15</v>
      </c>
      <c r="I4" s="46" t="s">
        <v>1</v>
      </c>
      <c r="J4" s="3">
        <v>13</v>
      </c>
      <c r="K4" s="9" t="s">
        <v>2</v>
      </c>
      <c r="L4" s="3">
        <v>20</v>
      </c>
      <c r="M4" s="3">
        <v>5</v>
      </c>
      <c r="N4" s="3">
        <v>20</v>
      </c>
      <c r="O4" s="3">
        <f t="shared" ref="O4:O9" si="1">N4-M4</f>
        <v>15</v>
      </c>
      <c r="P4" s="8"/>
    </row>
    <row r="5" spans="1:16" x14ac:dyDescent="0.55000000000000004">
      <c r="A5" s="47"/>
      <c r="B5" s="3">
        <v>11</v>
      </c>
      <c r="C5" s="9" t="s">
        <v>2</v>
      </c>
      <c r="D5" s="3">
        <v>15</v>
      </c>
      <c r="E5" s="3">
        <v>106</v>
      </c>
      <c r="F5" s="3">
        <v>140</v>
      </c>
      <c r="G5" s="3">
        <f t="shared" si="0"/>
        <v>34</v>
      </c>
      <c r="I5" s="47"/>
      <c r="J5" s="3">
        <v>21</v>
      </c>
      <c r="K5" s="9" t="s">
        <v>2</v>
      </c>
      <c r="L5" s="3">
        <v>30</v>
      </c>
      <c r="M5" s="3">
        <v>106</v>
      </c>
      <c r="N5" s="3">
        <v>140</v>
      </c>
      <c r="O5" s="3">
        <f t="shared" si="1"/>
        <v>34</v>
      </c>
      <c r="P5" s="8"/>
    </row>
    <row r="6" spans="1:16" x14ac:dyDescent="0.55000000000000004">
      <c r="A6" s="47"/>
      <c r="B6" s="3">
        <v>16</v>
      </c>
      <c r="C6" s="9" t="s">
        <v>2</v>
      </c>
      <c r="D6" s="3">
        <v>20</v>
      </c>
      <c r="E6" s="3">
        <v>162</v>
      </c>
      <c r="F6" s="3">
        <v>180</v>
      </c>
      <c r="G6" s="3">
        <f t="shared" si="0"/>
        <v>18</v>
      </c>
      <c r="I6" s="47"/>
      <c r="J6" s="3">
        <v>31</v>
      </c>
      <c r="K6" s="9" t="s">
        <v>2</v>
      </c>
      <c r="L6" s="3">
        <v>40</v>
      </c>
      <c r="M6" s="3">
        <v>162</v>
      </c>
      <c r="N6" s="3">
        <v>180</v>
      </c>
      <c r="O6" s="3">
        <f t="shared" si="1"/>
        <v>18</v>
      </c>
      <c r="P6" s="8"/>
    </row>
    <row r="7" spans="1:16" x14ac:dyDescent="0.55000000000000004">
      <c r="A7" s="47"/>
      <c r="B7" s="3">
        <v>21</v>
      </c>
      <c r="C7" s="9" t="s">
        <v>2</v>
      </c>
      <c r="D7" s="3">
        <v>40</v>
      </c>
      <c r="E7" s="3">
        <v>233</v>
      </c>
      <c r="F7" s="3">
        <v>265</v>
      </c>
      <c r="G7" s="3">
        <f t="shared" si="0"/>
        <v>32</v>
      </c>
      <c r="I7" s="47"/>
      <c r="J7" s="3">
        <v>41</v>
      </c>
      <c r="K7" s="9" t="s">
        <v>2</v>
      </c>
      <c r="L7" s="3">
        <v>80</v>
      </c>
      <c r="M7" s="3">
        <v>233</v>
      </c>
      <c r="N7" s="3">
        <v>265</v>
      </c>
      <c r="O7" s="3">
        <f t="shared" si="1"/>
        <v>32</v>
      </c>
      <c r="P7" s="8"/>
    </row>
    <row r="8" spans="1:16" x14ac:dyDescent="0.55000000000000004">
      <c r="A8" s="47"/>
      <c r="B8" s="3">
        <v>41</v>
      </c>
      <c r="C8" s="9" t="s">
        <v>2</v>
      </c>
      <c r="D8" s="3">
        <v>100</v>
      </c>
      <c r="E8" s="3">
        <v>311</v>
      </c>
      <c r="F8" s="3">
        <v>350</v>
      </c>
      <c r="G8" s="3">
        <f t="shared" si="0"/>
        <v>39</v>
      </c>
      <c r="I8" s="47"/>
      <c r="J8" s="3">
        <v>81</v>
      </c>
      <c r="K8" s="9" t="s">
        <v>2</v>
      </c>
      <c r="L8" s="3">
        <v>200</v>
      </c>
      <c r="M8" s="3">
        <v>311</v>
      </c>
      <c r="N8" s="3">
        <v>350</v>
      </c>
      <c r="O8" s="3">
        <f t="shared" si="1"/>
        <v>39</v>
      </c>
      <c r="P8" s="8"/>
    </row>
    <row r="9" spans="1:16" x14ac:dyDescent="0.55000000000000004">
      <c r="A9" s="48"/>
      <c r="B9" s="3">
        <v>101</v>
      </c>
      <c r="C9" s="9" t="s">
        <v>2</v>
      </c>
      <c r="D9" s="3"/>
      <c r="E9" s="3">
        <v>344</v>
      </c>
      <c r="F9" s="3">
        <v>380</v>
      </c>
      <c r="G9" s="3">
        <f t="shared" si="0"/>
        <v>36</v>
      </c>
      <c r="I9" s="48"/>
      <c r="J9" s="3">
        <v>201</v>
      </c>
      <c r="K9" s="9" t="s">
        <v>2</v>
      </c>
      <c r="L9" s="3"/>
      <c r="M9" s="3">
        <v>344</v>
      </c>
      <c r="N9" s="3">
        <v>380</v>
      </c>
      <c r="O9" s="3">
        <f t="shared" si="1"/>
        <v>36</v>
      </c>
      <c r="P9" s="8"/>
    </row>
    <row r="11" spans="1:16" x14ac:dyDescent="0.55000000000000004">
      <c r="A11" t="s">
        <v>35</v>
      </c>
      <c r="B11" s="4" t="s">
        <v>25</v>
      </c>
      <c r="C11" s="4"/>
      <c r="D11" s="4"/>
      <c r="E11" s="5" t="s">
        <v>3</v>
      </c>
      <c r="F11" s="5" t="s">
        <v>4</v>
      </c>
      <c r="G11" s="5" t="s">
        <v>5</v>
      </c>
      <c r="I11" t="s">
        <v>35</v>
      </c>
      <c r="J11" s="4" t="s">
        <v>25</v>
      </c>
      <c r="K11" s="4"/>
      <c r="L11" s="4"/>
      <c r="M11" s="5" t="s">
        <v>3</v>
      </c>
      <c r="N11" s="5" t="s">
        <v>4</v>
      </c>
      <c r="O11" s="5" t="s">
        <v>5</v>
      </c>
      <c r="P11" s="5"/>
    </row>
    <row r="12" spans="1:16" x14ac:dyDescent="0.55000000000000004">
      <c r="A12" s="6" t="s">
        <v>0</v>
      </c>
      <c r="B12" s="3"/>
      <c r="C12" s="9" t="s">
        <v>2</v>
      </c>
      <c r="D12" s="3">
        <v>6</v>
      </c>
      <c r="E12" s="3">
        <v>695</v>
      </c>
      <c r="F12" s="3">
        <v>780</v>
      </c>
      <c r="G12" s="3">
        <f>F12-E12</f>
        <v>85</v>
      </c>
      <c r="I12" s="6" t="s">
        <v>0</v>
      </c>
      <c r="J12" s="3"/>
      <c r="K12" s="9" t="s">
        <v>2</v>
      </c>
      <c r="L12" s="3">
        <v>12</v>
      </c>
      <c r="M12" s="3">
        <v>1390</v>
      </c>
      <c r="N12" s="3">
        <v>1560</v>
      </c>
      <c r="O12" s="3">
        <f>N12-M12</f>
        <v>170</v>
      </c>
      <c r="P12" s="8"/>
    </row>
    <row r="13" spans="1:16" x14ac:dyDescent="0.55000000000000004">
      <c r="A13" s="46" t="s">
        <v>1</v>
      </c>
      <c r="B13" s="3">
        <v>7</v>
      </c>
      <c r="C13" s="9" t="s">
        <v>2</v>
      </c>
      <c r="D13" s="3">
        <v>10</v>
      </c>
      <c r="E13" s="3">
        <v>5</v>
      </c>
      <c r="F13" s="3">
        <v>20</v>
      </c>
      <c r="G13" s="3">
        <f t="shared" ref="G13:G21" si="2">F13-E13</f>
        <v>15</v>
      </c>
      <c r="I13" s="46" t="s">
        <v>1</v>
      </c>
      <c r="J13" s="3">
        <v>13</v>
      </c>
      <c r="K13" s="9" t="s">
        <v>2</v>
      </c>
      <c r="L13" s="3">
        <v>20</v>
      </c>
      <c r="M13" s="3">
        <v>5</v>
      </c>
      <c r="N13" s="3">
        <v>20</v>
      </c>
      <c r="O13" s="3">
        <f t="shared" ref="O13:O21" si="3">N13-M13</f>
        <v>15</v>
      </c>
      <c r="P13" s="8"/>
    </row>
    <row r="14" spans="1:16" x14ac:dyDescent="0.55000000000000004">
      <c r="A14" s="47"/>
      <c r="B14" s="3">
        <v>11</v>
      </c>
      <c r="C14" s="9" t="s">
        <v>2</v>
      </c>
      <c r="D14" s="3">
        <v>15</v>
      </c>
      <c r="E14" s="3">
        <v>106</v>
      </c>
      <c r="F14" s="3">
        <v>140</v>
      </c>
      <c r="G14" s="3">
        <f t="shared" si="2"/>
        <v>34</v>
      </c>
      <c r="I14" s="47"/>
      <c r="J14" s="3">
        <v>21</v>
      </c>
      <c r="K14" s="9" t="s">
        <v>2</v>
      </c>
      <c r="L14" s="3">
        <v>30</v>
      </c>
      <c r="M14" s="3">
        <v>106</v>
      </c>
      <c r="N14" s="3">
        <v>140</v>
      </c>
      <c r="O14" s="3">
        <f t="shared" si="3"/>
        <v>34</v>
      </c>
      <c r="P14" s="8"/>
    </row>
    <row r="15" spans="1:16" x14ac:dyDescent="0.55000000000000004">
      <c r="A15" s="47"/>
      <c r="B15" s="3">
        <v>16</v>
      </c>
      <c r="C15" s="9" t="s">
        <v>2</v>
      </c>
      <c r="D15" s="3">
        <v>20</v>
      </c>
      <c r="E15" s="3">
        <v>177</v>
      </c>
      <c r="F15" s="3">
        <v>200</v>
      </c>
      <c r="G15" s="3">
        <f t="shared" si="2"/>
        <v>23</v>
      </c>
      <c r="I15" s="47"/>
      <c r="J15" s="3">
        <v>31</v>
      </c>
      <c r="K15" s="9" t="s">
        <v>2</v>
      </c>
      <c r="L15" s="3">
        <v>40</v>
      </c>
      <c r="M15" s="3">
        <v>177</v>
      </c>
      <c r="N15" s="3">
        <v>200</v>
      </c>
      <c r="O15" s="3">
        <f t="shared" si="3"/>
        <v>23</v>
      </c>
      <c r="P15" s="8"/>
    </row>
    <row r="16" spans="1:16" x14ac:dyDescent="0.55000000000000004">
      <c r="A16" s="47"/>
      <c r="B16" s="3">
        <v>21</v>
      </c>
      <c r="C16" s="9" t="s">
        <v>2</v>
      </c>
      <c r="D16" s="3">
        <v>40</v>
      </c>
      <c r="E16" s="3">
        <v>256</v>
      </c>
      <c r="F16" s="3">
        <v>285</v>
      </c>
      <c r="G16" s="3">
        <f t="shared" si="2"/>
        <v>29</v>
      </c>
      <c r="I16" s="47"/>
      <c r="J16" s="3">
        <v>41</v>
      </c>
      <c r="K16" s="9" t="s">
        <v>2</v>
      </c>
      <c r="L16" s="3">
        <v>80</v>
      </c>
      <c r="M16" s="3">
        <v>256</v>
      </c>
      <c r="N16" s="3">
        <v>285</v>
      </c>
      <c r="O16" s="3">
        <f t="shared" si="3"/>
        <v>29</v>
      </c>
      <c r="P16" s="8"/>
    </row>
    <row r="17" spans="1:16" x14ac:dyDescent="0.55000000000000004">
      <c r="A17" s="47"/>
      <c r="B17" s="3">
        <v>41</v>
      </c>
      <c r="C17" s="9" t="s">
        <v>2</v>
      </c>
      <c r="D17" s="3">
        <v>100</v>
      </c>
      <c r="E17" s="3">
        <v>326</v>
      </c>
      <c r="F17" s="3">
        <v>360</v>
      </c>
      <c r="G17" s="3">
        <f t="shared" si="2"/>
        <v>34</v>
      </c>
      <c r="I17" s="47"/>
      <c r="J17" s="3">
        <v>81</v>
      </c>
      <c r="K17" s="9" t="s">
        <v>2</v>
      </c>
      <c r="L17" s="3">
        <v>200</v>
      </c>
      <c r="M17" s="3">
        <v>326</v>
      </c>
      <c r="N17" s="3">
        <v>360</v>
      </c>
      <c r="O17" s="3">
        <f t="shared" si="3"/>
        <v>34</v>
      </c>
      <c r="P17" s="8"/>
    </row>
    <row r="18" spans="1:16" x14ac:dyDescent="0.55000000000000004">
      <c r="A18" s="47"/>
      <c r="B18" s="3">
        <v>101</v>
      </c>
      <c r="C18" s="9" t="s">
        <v>2</v>
      </c>
      <c r="D18" s="3">
        <v>200</v>
      </c>
      <c r="E18" s="3">
        <v>395</v>
      </c>
      <c r="F18" s="3">
        <v>420</v>
      </c>
      <c r="G18" s="3">
        <f t="shared" si="2"/>
        <v>25</v>
      </c>
      <c r="I18" s="47"/>
      <c r="J18" s="3">
        <v>201</v>
      </c>
      <c r="K18" s="9" t="s">
        <v>2</v>
      </c>
      <c r="L18" s="3">
        <v>400</v>
      </c>
      <c r="M18" s="3">
        <v>395</v>
      </c>
      <c r="N18" s="3">
        <v>420</v>
      </c>
      <c r="O18" s="3">
        <f t="shared" si="3"/>
        <v>25</v>
      </c>
      <c r="P18" s="8"/>
    </row>
    <row r="19" spans="1:16" x14ac:dyDescent="0.55000000000000004">
      <c r="A19" s="47"/>
      <c r="B19" s="3">
        <v>201</v>
      </c>
      <c r="C19" s="9" t="s">
        <v>2</v>
      </c>
      <c r="D19" s="3">
        <v>500</v>
      </c>
      <c r="E19" s="3">
        <v>440</v>
      </c>
      <c r="F19" s="3">
        <v>455</v>
      </c>
      <c r="G19" s="3">
        <f t="shared" si="2"/>
        <v>15</v>
      </c>
      <c r="I19" s="47"/>
      <c r="J19" s="3">
        <v>401</v>
      </c>
      <c r="K19" s="9" t="s">
        <v>2</v>
      </c>
      <c r="L19" s="3">
        <v>1000</v>
      </c>
      <c r="M19" s="3">
        <v>440</v>
      </c>
      <c r="N19" s="3">
        <v>455</v>
      </c>
      <c r="O19" s="3">
        <f t="shared" si="3"/>
        <v>15</v>
      </c>
      <c r="P19" s="8"/>
    </row>
    <row r="20" spans="1:16" x14ac:dyDescent="0.55000000000000004">
      <c r="A20" s="47"/>
      <c r="B20" s="3">
        <v>501</v>
      </c>
      <c r="C20" s="9" t="s">
        <v>2</v>
      </c>
      <c r="D20" s="3">
        <v>1000</v>
      </c>
      <c r="E20" s="3">
        <v>472</v>
      </c>
      <c r="F20" s="3">
        <v>472</v>
      </c>
      <c r="G20" s="3">
        <f t="shared" si="2"/>
        <v>0</v>
      </c>
      <c r="I20" s="47"/>
      <c r="J20" s="3">
        <v>1001</v>
      </c>
      <c r="K20" s="9" t="s">
        <v>2</v>
      </c>
      <c r="L20" s="3">
        <v>2000</v>
      </c>
      <c r="M20" s="3">
        <v>472</v>
      </c>
      <c r="N20" s="3">
        <v>472</v>
      </c>
      <c r="O20" s="3">
        <f t="shared" si="3"/>
        <v>0</v>
      </c>
      <c r="P20" s="8"/>
    </row>
    <row r="21" spans="1:16" x14ac:dyDescent="0.55000000000000004">
      <c r="A21" s="48"/>
      <c r="B21" s="3">
        <v>1001</v>
      </c>
      <c r="C21" s="9" t="s">
        <v>2</v>
      </c>
      <c r="D21" s="3"/>
      <c r="E21" s="3">
        <v>495</v>
      </c>
      <c r="F21" s="3">
        <v>495</v>
      </c>
      <c r="G21" s="3">
        <f t="shared" si="2"/>
        <v>0</v>
      </c>
      <c r="I21" s="48"/>
      <c r="J21" s="3">
        <v>2001</v>
      </c>
      <c r="K21" s="9" t="s">
        <v>2</v>
      </c>
      <c r="L21" s="3"/>
      <c r="M21" s="3">
        <v>495</v>
      </c>
      <c r="N21" s="3">
        <v>495</v>
      </c>
      <c r="O21" s="3">
        <f t="shared" si="3"/>
        <v>0</v>
      </c>
      <c r="P21" s="8"/>
    </row>
    <row r="23" spans="1:16" x14ac:dyDescent="0.55000000000000004">
      <c r="A23" t="s">
        <v>7</v>
      </c>
      <c r="B23" s="4" t="s">
        <v>25</v>
      </c>
      <c r="C23" s="4"/>
      <c r="D23" s="4"/>
      <c r="E23" s="5" t="s">
        <v>3</v>
      </c>
      <c r="F23" s="5" t="s">
        <v>4</v>
      </c>
      <c r="G23" s="5" t="s">
        <v>5</v>
      </c>
      <c r="I23" t="s">
        <v>7</v>
      </c>
      <c r="J23" s="4" t="s">
        <v>25</v>
      </c>
      <c r="K23" s="4"/>
      <c r="L23" s="4"/>
      <c r="M23" s="5" t="s">
        <v>3</v>
      </c>
      <c r="N23" s="5" t="s">
        <v>4</v>
      </c>
      <c r="O23" s="5" t="s">
        <v>5</v>
      </c>
      <c r="P23" s="5"/>
    </row>
    <row r="24" spans="1:16" x14ac:dyDescent="0.55000000000000004">
      <c r="A24" s="6" t="s">
        <v>0</v>
      </c>
      <c r="B24" s="1"/>
      <c r="C24" s="2" t="s">
        <v>2</v>
      </c>
      <c r="D24" s="1">
        <v>6</v>
      </c>
      <c r="E24" s="3">
        <v>695</v>
      </c>
      <c r="F24" s="3">
        <v>780</v>
      </c>
      <c r="G24" s="3">
        <f>F24-E24</f>
        <v>85</v>
      </c>
      <c r="I24" s="6" t="s">
        <v>0</v>
      </c>
      <c r="J24" s="1"/>
      <c r="K24" s="2" t="s">
        <v>2</v>
      </c>
      <c r="L24" s="1">
        <v>12</v>
      </c>
      <c r="M24" s="3">
        <v>1390</v>
      </c>
      <c r="N24" s="3">
        <v>1560</v>
      </c>
      <c r="O24" s="3">
        <f>N24-M24</f>
        <v>170</v>
      </c>
      <c r="P24" s="8"/>
    </row>
    <row r="25" spans="1:16" x14ac:dyDescent="0.55000000000000004">
      <c r="A25" s="46" t="s">
        <v>1</v>
      </c>
      <c r="B25" s="1">
        <v>7</v>
      </c>
      <c r="C25" s="2" t="s">
        <v>2</v>
      </c>
      <c r="D25" s="1">
        <v>10</v>
      </c>
      <c r="E25" s="3">
        <v>5</v>
      </c>
      <c r="F25" s="3">
        <v>20</v>
      </c>
      <c r="G25" s="3">
        <f t="shared" ref="G25:G28" si="4">F25-E25</f>
        <v>15</v>
      </c>
      <c r="I25" s="46" t="s">
        <v>1</v>
      </c>
      <c r="J25" s="1">
        <v>13</v>
      </c>
      <c r="K25" s="2" t="s">
        <v>2</v>
      </c>
      <c r="L25" s="1">
        <v>20</v>
      </c>
      <c r="M25" s="3">
        <v>5</v>
      </c>
      <c r="N25" s="3">
        <v>20</v>
      </c>
      <c r="O25" s="3">
        <f t="shared" ref="O25:O28" si="5">N25-M25</f>
        <v>15</v>
      </c>
      <c r="P25" s="8"/>
    </row>
    <row r="26" spans="1:16" x14ac:dyDescent="0.55000000000000004">
      <c r="A26" s="47"/>
      <c r="B26" s="1">
        <v>11</v>
      </c>
      <c r="C26" s="2" t="s">
        <v>2</v>
      </c>
      <c r="D26" s="1">
        <v>15</v>
      </c>
      <c r="E26" s="3">
        <v>106</v>
      </c>
      <c r="F26" s="3">
        <v>140</v>
      </c>
      <c r="G26" s="3">
        <f t="shared" si="4"/>
        <v>34</v>
      </c>
      <c r="I26" s="47"/>
      <c r="J26" s="1">
        <v>21</v>
      </c>
      <c r="K26" s="2" t="s">
        <v>2</v>
      </c>
      <c r="L26" s="1">
        <v>30</v>
      </c>
      <c r="M26" s="3">
        <v>106</v>
      </c>
      <c r="N26" s="3">
        <v>140</v>
      </c>
      <c r="O26" s="3">
        <f t="shared" si="5"/>
        <v>34</v>
      </c>
      <c r="P26" s="8"/>
    </row>
    <row r="27" spans="1:16" x14ac:dyDescent="0.55000000000000004">
      <c r="A27" s="47"/>
      <c r="B27" s="1">
        <v>16</v>
      </c>
      <c r="C27" s="2" t="s">
        <v>2</v>
      </c>
      <c r="D27" s="1">
        <v>20</v>
      </c>
      <c r="E27" s="3">
        <v>162</v>
      </c>
      <c r="F27" s="3">
        <v>180</v>
      </c>
      <c r="G27" s="3">
        <f t="shared" si="4"/>
        <v>18</v>
      </c>
      <c r="I27" s="47"/>
      <c r="J27" s="1">
        <v>31</v>
      </c>
      <c r="K27" s="2" t="s">
        <v>2</v>
      </c>
      <c r="L27" s="1">
        <v>40</v>
      </c>
      <c r="M27" s="3">
        <v>162</v>
      </c>
      <c r="N27" s="3">
        <v>180</v>
      </c>
      <c r="O27" s="3">
        <f t="shared" si="5"/>
        <v>18</v>
      </c>
      <c r="P27" s="8"/>
    </row>
    <row r="28" spans="1:16" x14ac:dyDescent="0.55000000000000004">
      <c r="A28" s="48"/>
      <c r="B28" s="1">
        <v>21</v>
      </c>
      <c r="C28" s="2" t="s">
        <v>2</v>
      </c>
      <c r="D28" s="1"/>
      <c r="E28" s="3">
        <v>35</v>
      </c>
      <c r="F28" s="3">
        <v>36</v>
      </c>
      <c r="G28" s="3">
        <f t="shared" si="4"/>
        <v>1</v>
      </c>
      <c r="I28" s="48"/>
      <c r="J28" s="1">
        <v>41</v>
      </c>
      <c r="K28" s="2" t="s">
        <v>2</v>
      </c>
      <c r="L28" s="1"/>
      <c r="M28" s="3">
        <v>35</v>
      </c>
      <c r="N28" s="3">
        <v>36</v>
      </c>
      <c r="O28" s="3">
        <f t="shared" si="5"/>
        <v>1</v>
      </c>
      <c r="P28" s="8"/>
    </row>
    <row r="30" spans="1:16" x14ac:dyDescent="0.55000000000000004">
      <c r="A30" t="s">
        <v>6</v>
      </c>
      <c r="B30" s="4" t="s">
        <v>25</v>
      </c>
      <c r="C30" s="4"/>
      <c r="D30" s="4"/>
      <c r="E30" s="5" t="s">
        <v>3</v>
      </c>
      <c r="F30" s="5" t="s">
        <v>4</v>
      </c>
      <c r="G30" s="5" t="s">
        <v>5</v>
      </c>
      <c r="I30" t="s">
        <v>6</v>
      </c>
      <c r="J30" s="4" t="s">
        <v>25</v>
      </c>
      <c r="K30" s="4"/>
      <c r="L30" s="4"/>
      <c r="M30" s="5" t="s">
        <v>3</v>
      </c>
      <c r="N30" s="5" t="s">
        <v>4</v>
      </c>
      <c r="O30" s="5" t="s">
        <v>5</v>
      </c>
      <c r="P30" s="5"/>
    </row>
    <row r="31" spans="1:16" x14ac:dyDescent="0.55000000000000004">
      <c r="A31" s="1"/>
      <c r="B31" s="1">
        <v>1</v>
      </c>
      <c r="C31" s="2" t="s">
        <v>2</v>
      </c>
      <c r="D31" s="1"/>
      <c r="E31" s="3">
        <v>177</v>
      </c>
      <c r="F31" s="3">
        <v>180</v>
      </c>
      <c r="G31" s="3">
        <f t="shared" ref="G31" si="6">F31-E31</f>
        <v>3</v>
      </c>
      <c r="I31" s="1"/>
      <c r="J31" s="1">
        <v>1</v>
      </c>
      <c r="K31" s="2" t="s">
        <v>2</v>
      </c>
      <c r="L31" s="1"/>
      <c r="M31" s="3">
        <v>177</v>
      </c>
      <c r="N31" s="3">
        <v>180</v>
      </c>
      <c r="O31" s="3">
        <f t="shared" ref="O31" si="7">N31-M31</f>
        <v>3</v>
      </c>
      <c r="P31" s="8"/>
    </row>
  </sheetData>
  <mergeCells count="8">
    <mergeCell ref="A4:A9"/>
    <mergeCell ref="A13:A21"/>
    <mergeCell ref="A25:A28"/>
    <mergeCell ref="A1:G1"/>
    <mergeCell ref="I1:O1"/>
    <mergeCell ref="I4:I9"/>
    <mergeCell ref="I13:I21"/>
    <mergeCell ref="I25:I28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"/>
  <sheetViews>
    <sheetView zoomScale="90" zoomScaleNormal="90" workbookViewId="0">
      <selection activeCell="F19" sqref="F19"/>
    </sheetView>
  </sheetViews>
  <sheetFormatPr defaultRowHeight="18" x14ac:dyDescent="0.55000000000000004"/>
  <cols>
    <col min="1" max="1" width="17.75" customWidth="1"/>
    <col min="2" max="2" width="12.75" customWidth="1"/>
    <col min="3" max="3" width="4.33203125" customWidth="1"/>
    <col min="5" max="5" width="4.33203125" customWidth="1"/>
    <col min="6" max="6" width="9" customWidth="1"/>
    <col min="8" max="8" width="4.33203125" customWidth="1"/>
    <col min="9" max="9" width="17.75" customWidth="1"/>
    <col min="10" max="10" width="12.75" customWidth="1"/>
    <col min="11" max="11" width="4.33203125" customWidth="1"/>
    <col min="13" max="13" width="4.33203125" customWidth="1"/>
  </cols>
  <sheetData>
    <row r="1" spans="1:15" x14ac:dyDescent="0.55000000000000004">
      <c r="A1" s="49" t="s">
        <v>36</v>
      </c>
      <c r="B1" s="49"/>
      <c r="C1" s="49"/>
      <c r="D1" s="49"/>
      <c r="E1" s="49"/>
      <c r="F1" s="49"/>
      <c r="G1" s="49"/>
      <c r="H1" s="15"/>
      <c r="I1" s="49" t="s">
        <v>45</v>
      </c>
      <c r="J1" s="49"/>
      <c r="K1" s="49"/>
      <c r="L1" s="49"/>
      <c r="M1" s="49"/>
      <c r="N1" s="49"/>
      <c r="O1" s="49"/>
    </row>
    <row r="3" spans="1:15" x14ac:dyDescent="0.55000000000000004">
      <c r="A3" t="s">
        <v>37</v>
      </c>
      <c r="D3" t="s">
        <v>40</v>
      </c>
      <c r="H3" s="5"/>
      <c r="I3" t="s">
        <v>37</v>
      </c>
      <c r="L3" t="s">
        <v>40</v>
      </c>
    </row>
    <row r="4" spans="1:15" x14ac:dyDescent="0.55000000000000004">
      <c r="A4" s="1" t="s">
        <v>38</v>
      </c>
      <c r="B4" s="1" t="s">
        <v>39</v>
      </c>
      <c r="D4" s="50" t="s">
        <v>41</v>
      </c>
      <c r="E4" s="51"/>
      <c r="F4" s="52"/>
      <c r="G4" s="16" t="s">
        <v>39</v>
      </c>
      <c r="I4" s="1" t="s">
        <v>38</v>
      </c>
      <c r="J4" s="1" t="s">
        <v>39</v>
      </c>
      <c r="L4" s="50" t="s">
        <v>41</v>
      </c>
      <c r="M4" s="51"/>
      <c r="N4" s="52"/>
      <c r="O4" s="16" t="s">
        <v>39</v>
      </c>
    </row>
    <row r="5" spans="1:15" x14ac:dyDescent="0.55000000000000004">
      <c r="A5" s="3">
        <v>13</v>
      </c>
      <c r="B5" s="3">
        <v>760</v>
      </c>
      <c r="D5" s="3"/>
      <c r="E5" s="9" t="s">
        <v>2</v>
      </c>
      <c r="F5" s="3">
        <v>10</v>
      </c>
      <c r="G5" s="3">
        <v>5</v>
      </c>
      <c r="I5" s="3">
        <v>13</v>
      </c>
      <c r="J5" s="3">
        <v>1520</v>
      </c>
      <c r="L5" s="3"/>
      <c r="M5" s="9" t="s">
        <v>2</v>
      </c>
      <c r="N5" s="3">
        <v>20</v>
      </c>
      <c r="O5" s="3">
        <v>5</v>
      </c>
    </row>
    <row r="6" spans="1:15" x14ac:dyDescent="0.55000000000000004">
      <c r="A6" s="3">
        <v>20</v>
      </c>
      <c r="B6" s="3">
        <v>810</v>
      </c>
      <c r="D6" s="3">
        <v>11</v>
      </c>
      <c r="E6" s="9" t="s">
        <v>2</v>
      </c>
      <c r="F6" s="3">
        <v>15</v>
      </c>
      <c r="G6" s="3">
        <v>106</v>
      </c>
      <c r="I6" s="3">
        <v>20</v>
      </c>
      <c r="J6" s="3">
        <v>1620</v>
      </c>
      <c r="L6" s="3">
        <v>21</v>
      </c>
      <c r="M6" s="9" t="s">
        <v>2</v>
      </c>
      <c r="N6" s="3">
        <v>30</v>
      </c>
      <c r="O6" s="3">
        <v>106</v>
      </c>
    </row>
    <row r="7" spans="1:15" x14ac:dyDescent="0.55000000000000004">
      <c r="A7" s="3">
        <v>25</v>
      </c>
      <c r="B7" s="3">
        <v>860</v>
      </c>
      <c r="D7" s="3">
        <v>16</v>
      </c>
      <c r="E7" s="9" t="s">
        <v>2</v>
      </c>
      <c r="F7" s="3">
        <v>20</v>
      </c>
      <c r="G7" s="3">
        <v>168</v>
      </c>
      <c r="I7" s="3">
        <v>25</v>
      </c>
      <c r="J7" s="3">
        <v>1720</v>
      </c>
      <c r="L7" s="3">
        <v>31</v>
      </c>
      <c r="M7" s="9" t="s">
        <v>2</v>
      </c>
      <c r="N7" s="3">
        <v>40</v>
      </c>
      <c r="O7" s="3">
        <v>168</v>
      </c>
    </row>
    <row r="8" spans="1:15" x14ac:dyDescent="0.55000000000000004">
      <c r="A8" s="3">
        <v>40</v>
      </c>
      <c r="B8" s="3">
        <v>1150</v>
      </c>
      <c r="D8" s="3">
        <v>21</v>
      </c>
      <c r="E8" s="9" t="s">
        <v>2</v>
      </c>
      <c r="F8" s="3">
        <v>40</v>
      </c>
      <c r="G8" s="3">
        <v>203</v>
      </c>
      <c r="I8" s="3">
        <v>40</v>
      </c>
      <c r="J8" s="3">
        <v>2300</v>
      </c>
      <c r="L8" s="3">
        <v>41</v>
      </c>
      <c r="M8" s="9" t="s">
        <v>2</v>
      </c>
      <c r="N8" s="3">
        <v>80</v>
      </c>
      <c r="O8" s="3">
        <v>203</v>
      </c>
    </row>
    <row r="9" spans="1:15" x14ac:dyDescent="0.55000000000000004">
      <c r="A9" s="3">
        <v>50</v>
      </c>
      <c r="B9" s="3">
        <v>2375</v>
      </c>
      <c r="D9" s="3">
        <v>41</v>
      </c>
      <c r="E9" s="9" t="s">
        <v>2</v>
      </c>
      <c r="F9" s="3">
        <v>100</v>
      </c>
      <c r="G9" s="3">
        <v>229</v>
      </c>
      <c r="I9" s="3">
        <v>50</v>
      </c>
      <c r="J9" s="3">
        <v>4750</v>
      </c>
      <c r="L9" s="3">
        <v>81</v>
      </c>
      <c r="M9" s="9" t="s">
        <v>2</v>
      </c>
      <c r="N9" s="3">
        <v>200</v>
      </c>
      <c r="O9" s="3">
        <v>229</v>
      </c>
    </row>
    <row r="10" spans="1:15" x14ac:dyDescent="0.55000000000000004">
      <c r="A10" s="3">
        <v>75</v>
      </c>
      <c r="B10" s="3">
        <v>2925</v>
      </c>
      <c r="D10" s="3">
        <v>101</v>
      </c>
      <c r="E10" s="9" t="s">
        <v>2</v>
      </c>
      <c r="F10" s="3"/>
      <c r="G10" s="3">
        <v>241</v>
      </c>
      <c r="I10" s="3">
        <v>75</v>
      </c>
      <c r="J10" s="3">
        <v>5850</v>
      </c>
      <c r="L10" s="3">
        <v>201</v>
      </c>
      <c r="M10" s="9" t="s">
        <v>2</v>
      </c>
      <c r="N10" s="3"/>
      <c r="O10" s="3">
        <v>241</v>
      </c>
    </row>
    <row r="11" spans="1:15" x14ac:dyDescent="0.55000000000000004">
      <c r="A11" s="3">
        <v>100</v>
      </c>
      <c r="B11" s="3">
        <v>3540</v>
      </c>
      <c r="I11" s="3">
        <v>100</v>
      </c>
      <c r="J11" s="3">
        <v>7080</v>
      </c>
    </row>
    <row r="12" spans="1:15" x14ac:dyDescent="0.55000000000000004">
      <c r="A12" s="3">
        <v>150</v>
      </c>
      <c r="B12" s="3">
        <v>5325</v>
      </c>
      <c r="D12" s="50" t="s">
        <v>42</v>
      </c>
      <c r="E12" s="51"/>
      <c r="F12" s="52"/>
      <c r="G12" s="16" t="s">
        <v>39</v>
      </c>
      <c r="I12" s="3">
        <v>150</v>
      </c>
      <c r="J12" s="3">
        <v>10650</v>
      </c>
      <c r="L12" s="50" t="s">
        <v>42</v>
      </c>
      <c r="M12" s="51"/>
      <c r="N12" s="52"/>
      <c r="O12" s="16" t="s">
        <v>39</v>
      </c>
    </row>
    <row r="13" spans="1:15" x14ac:dyDescent="0.55000000000000004">
      <c r="A13" s="3">
        <v>200</v>
      </c>
      <c r="B13" s="3">
        <v>6880</v>
      </c>
      <c r="D13" s="3"/>
      <c r="E13" s="9" t="s">
        <v>2</v>
      </c>
      <c r="F13" s="3">
        <v>10</v>
      </c>
      <c r="G13" s="3">
        <v>5</v>
      </c>
      <c r="I13" s="3">
        <v>200</v>
      </c>
      <c r="J13" s="3">
        <v>13760</v>
      </c>
      <c r="L13" s="3">
        <v>1</v>
      </c>
      <c r="M13" s="9" t="s">
        <v>2</v>
      </c>
      <c r="N13" s="3">
        <v>20</v>
      </c>
      <c r="O13" s="3">
        <v>5</v>
      </c>
    </row>
    <row r="14" spans="1:15" x14ac:dyDescent="0.55000000000000004">
      <c r="A14" s="3">
        <v>250</v>
      </c>
      <c r="B14" s="3">
        <v>10170</v>
      </c>
      <c r="D14" s="3">
        <v>11</v>
      </c>
      <c r="E14" s="9" t="s">
        <v>2</v>
      </c>
      <c r="F14" s="3">
        <v>15</v>
      </c>
      <c r="G14" s="3">
        <v>106</v>
      </c>
      <c r="I14" s="3">
        <v>250</v>
      </c>
      <c r="J14" s="3">
        <v>20340</v>
      </c>
      <c r="L14" s="3">
        <v>21</v>
      </c>
      <c r="M14" s="9" t="s">
        <v>2</v>
      </c>
      <c r="N14" s="3">
        <v>30</v>
      </c>
      <c r="O14" s="3">
        <v>106</v>
      </c>
    </row>
    <row r="15" spans="1:15" x14ac:dyDescent="0.55000000000000004">
      <c r="A15" s="3">
        <v>300</v>
      </c>
      <c r="B15" s="3">
        <v>14555</v>
      </c>
      <c r="D15" s="3">
        <v>16</v>
      </c>
      <c r="E15" s="9" t="s">
        <v>2</v>
      </c>
      <c r="F15" s="3">
        <v>20</v>
      </c>
      <c r="G15" s="3">
        <v>193</v>
      </c>
      <c r="I15" s="3">
        <v>300</v>
      </c>
      <c r="J15" s="3">
        <v>29110</v>
      </c>
      <c r="L15" s="3">
        <v>31</v>
      </c>
      <c r="M15" s="9" t="s">
        <v>2</v>
      </c>
      <c r="N15" s="3">
        <v>40</v>
      </c>
      <c r="O15" s="3">
        <v>193</v>
      </c>
    </row>
    <row r="16" spans="1:15" x14ac:dyDescent="0.55000000000000004">
      <c r="D16" s="3">
        <v>21</v>
      </c>
      <c r="E16" s="9" t="s">
        <v>2</v>
      </c>
      <c r="F16" s="3">
        <v>40</v>
      </c>
      <c r="G16" s="3">
        <v>228</v>
      </c>
      <c r="L16" s="3">
        <v>41</v>
      </c>
      <c r="M16" s="9" t="s">
        <v>2</v>
      </c>
      <c r="N16" s="3">
        <v>80</v>
      </c>
      <c r="O16" s="3">
        <v>228</v>
      </c>
    </row>
    <row r="17" spans="4:15" x14ac:dyDescent="0.55000000000000004">
      <c r="D17" s="3">
        <v>41</v>
      </c>
      <c r="E17" s="9" t="s">
        <v>2</v>
      </c>
      <c r="F17" s="3">
        <v>100</v>
      </c>
      <c r="G17" s="3">
        <v>257</v>
      </c>
      <c r="L17" s="3">
        <v>81</v>
      </c>
      <c r="M17" s="9" t="s">
        <v>2</v>
      </c>
      <c r="N17" s="3">
        <v>200</v>
      </c>
      <c r="O17" s="3">
        <v>257</v>
      </c>
    </row>
    <row r="18" spans="4:15" x14ac:dyDescent="0.55000000000000004">
      <c r="D18" s="3">
        <v>101</v>
      </c>
      <c r="E18" s="9" t="s">
        <v>2</v>
      </c>
      <c r="F18" s="3">
        <v>200</v>
      </c>
      <c r="G18" s="3">
        <v>288</v>
      </c>
      <c r="L18" s="3">
        <v>201</v>
      </c>
      <c r="M18" s="9" t="s">
        <v>2</v>
      </c>
      <c r="N18" s="3">
        <v>400</v>
      </c>
      <c r="O18" s="3">
        <v>288</v>
      </c>
    </row>
    <row r="19" spans="4:15" x14ac:dyDescent="0.55000000000000004">
      <c r="D19" s="3">
        <v>201</v>
      </c>
      <c r="E19" s="9" t="s">
        <v>2</v>
      </c>
      <c r="F19" s="3"/>
      <c r="G19" s="3">
        <v>316</v>
      </c>
      <c r="L19" s="3">
        <v>401</v>
      </c>
      <c r="M19" s="9" t="s">
        <v>2</v>
      </c>
      <c r="N19" s="3"/>
      <c r="O19" s="3">
        <v>316</v>
      </c>
    </row>
    <row r="21" spans="4:15" x14ac:dyDescent="0.55000000000000004">
      <c r="D21" s="50" t="s">
        <v>43</v>
      </c>
      <c r="E21" s="51"/>
      <c r="F21" s="52"/>
      <c r="G21" s="16" t="s">
        <v>39</v>
      </c>
      <c r="L21" s="50" t="s">
        <v>43</v>
      </c>
      <c r="M21" s="51"/>
      <c r="N21" s="52"/>
      <c r="O21" s="16" t="s">
        <v>39</v>
      </c>
    </row>
    <row r="22" spans="4:15" x14ac:dyDescent="0.55000000000000004">
      <c r="D22" s="3"/>
      <c r="E22" s="9" t="s">
        <v>2</v>
      </c>
      <c r="F22" s="3">
        <v>10</v>
      </c>
      <c r="G22" s="3">
        <v>5</v>
      </c>
      <c r="L22" s="3"/>
      <c r="M22" s="9" t="s">
        <v>2</v>
      </c>
      <c r="N22" s="3">
        <v>20</v>
      </c>
      <c r="O22" s="3">
        <v>5</v>
      </c>
    </row>
    <row r="23" spans="4:15" x14ac:dyDescent="0.55000000000000004">
      <c r="D23" s="3">
        <v>11</v>
      </c>
      <c r="E23" s="9" t="s">
        <v>2</v>
      </c>
      <c r="F23" s="3">
        <v>15</v>
      </c>
      <c r="G23" s="3">
        <v>106</v>
      </c>
      <c r="L23" s="3">
        <v>21</v>
      </c>
      <c r="M23" s="9" t="s">
        <v>2</v>
      </c>
      <c r="N23" s="3">
        <v>30</v>
      </c>
      <c r="O23" s="3">
        <v>106</v>
      </c>
    </row>
    <row r="24" spans="4:15" x14ac:dyDescent="0.55000000000000004">
      <c r="D24" s="3">
        <v>16</v>
      </c>
      <c r="E24" s="9" t="s">
        <v>2</v>
      </c>
      <c r="F24" s="3"/>
      <c r="G24" s="3">
        <v>62</v>
      </c>
      <c r="L24" s="3">
        <v>31</v>
      </c>
      <c r="M24" s="9" t="s">
        <v>2</v>
      </c>
      <c r="N24" s="3"/>
      <c r="O24" s="3">
        <v>62</v>
      </c>
    </row>
    <row r="26" spans="4:15" x14ac:dyDescent="0.55000000000000004">
      <c r="D26" s="50" t="s">
        <v>44</v>
      </c>
      <c r="E26" s="51"/>
      <c r="F26" s="52"/>
      <c r="G26" s="16" t="s">
        <v>39</v>
      </c>
      <c r="L26" s="50" t="s">
        <v>44</v>
      </c>
      <c r="M26" s="51"/>
      <c r="N26" s="52"/>
      <c r="O26" s="16" t="s">
        <v>39</v>
      </c>
    </row>
    <row r="27" spans="4:15" x14ac:dyDescent="0.55000000000000004">
      <c r="D27" s="3"/>
      <c r="E27" s="9" t="s">
        <v>2</v>
      </c>
      <c r="F27" s="3">
        <v>10</v>
      </c>
      <c r="G27" s="3">
        <v>5</v>
      </c>
      <c r="L27" s="3"/>
      <c r="M27" s="9" t="s">
        <v>2</v>
      </c>
      <c r="N27" s="3">
        <v>20</v>
      </c>
      <c r="O27" s="3">
        <v>5</v>
      </c>
    </row>
    <row r="28" spans="4:15" x14ac:dyDescent="0.55000000000000004">
      <c r="D28" s="3">
        <v>11</v>
      </c>
      <c r="E28" s="9" t="s">
        <v>2</v>
      </c>
      <c r="F28" s="3"/>
      <c r="G28" s="3">
        <v>116</v>
      </c>
      <c r="L28" s="3">
        <v>21</v>
      </c>
      <c r="M28" s="9" t="s">
        <v>2</v>
      </c>
      <c r="N28" s="3"/>
      <c r="O28" s="3">
        <v>116</v>
      </c>
    </row>
  </sheetData>
  <mergeCells count="10">
    <mergeCell ref="D26:F26"/>
    <mergeCell ref="I1:O1"/>
    <mergeCell ref="L4:N4"/>
    <mergeCell ref="L12:N12"/>
    <mergeCell ref="L21:N21"/>
    <mergeCell ref="L26:N26"/>
    <mergeCell ref="A1:G1"/>
    <mergeCell ref="D4:F4"/>
    <mergeCell ref="D12:F12"/>
    <mergeCell ref="D21:F2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使用料計算機</vt:lpstr>
      <vt:lpstr>改定額試算</vt:lpstr>
      <vt:lpstr>下水道料金</vt:lpstr>
      <vt:lpstr>水道料金</vt:lpstr>
      <vt:lpstr>使用料計算機!Print_Area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2026-04-14T00:24:03Z</dcterms:modified>
</cp:coreProperties>
</file>