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gwfilsv02\cf$\ikondou\デスクトップ\"/>
    </mc:Choice>
  </mc:AlternateContent>
  <workbookProtection workbookPassword="CC7D" lockStructure="1"/>
  <bookViews>
    <workbookView showHorizontalScroll="0" xWindow="-15" yWindow="6420" windowWidth="19170" windowHeight="6480"/>
  </bookViews>
  <sheets>
    <sheet name="使用料計算機" sheetId="12" r:id="rId1"/>
  </sheets>
  <definedNames>
    <definedName name="_xlnm.Print_Area" localSheetId="0">使用料計算機!$A$1:$M$21</definedName>
  </definedNames>
  <calcPr calcId="152511"/>
</workbook>
</file>

<file path=xl/calcChain.xml><?xml version="1.0" encoding="utf-8"?>
<calcChain xmlns="http://schemas.openxmlformats.org/spreadsheetml/2006/main">
  <c r="AH63" i="12" l="1"/>
  <c r="AG69" i="12"/>
  <c r="AJ69" i="12"/>
  <c r="AG37" i="12"/>
  <c r="AJ37" i="12"/>
  <c r="AM37" i="12"/>
  <c r="AL37" i="12"/>
  <c r="AK37" i="12"/>
  <c r="AG36" i="12"/>
  <c r="AJ36" i="12"/>
  <c r="AG35" i="12"/>
  <c r="AJ35" i="12"/>
  <c r="AG34" i="12"/>
  <c r="AJ34" i="12"/>
  <c r="AH59" i="12"/>
  <c r="AH58" i="12"/>
  <c r="AH57" i="12"/>
  <c r="AH56" i="12"/>
  <c r="AH55" i="12"/>
  <c r="AH54" i="12"/>
  <c r="AH53" i="12"/>
  <c r="AH52" i="12"/>
  <c r="AH51" i="12"/>
  <c r="AH50" i="12"/>
  <c r="AH49" i="12"/>
  <c r="K1" i="12"/>
  <c r="AH62" i="12"/>
  <c r="AM34" i="12"/>
  <c r="AN34" i="12"/>
  <c r="AO34" i="12"/>
  <c r="AG67" i="12"/>
  <c r="AJ67" i="12"/>
  <c r="AM67" i="12"/>
  <c r="AH37" i="12"/>
  <c r="AI37" i="12"/>
  <c r="AM36" i="12"/>
  <c r="AN36" i="12"/>
  <c r="AM69" i="12"/>
  <c r="AM35" i="12"/>
  <c r="AN35" i="12"/>
  <c r="AG68" i="12"/>
  <c r="AJ68" i="12"/>
  <c r="AG66" i="12"/>
  <c r="AJ66" i="12"/>
  <c r="AN69" i="12"/>
  <c r="AL69" i="12"/>
  <c r="AI69" i="12"/>
  <c r="AP34" i="12"/>
  <c r="AO36" i="12"/>
  <c r="AM66" i="12"/>
  <c r="AM68" i="12"/>
  <c r="AN67" i="12"/>
  <c r="AO67" i="12"/>
  <c r="AO35" i="12"/>
  <c r="AQ34" i="12"/>
  <c r="AR34" i="12"/>
  <c r="AP67" i="12"/>
  <c r="AQ67" i="12"/>
  <c r="AP36" i="12"/>
  <c r="AP35" i="12"/>
  <c r="AN68" i="12"/>
  <c r="AO68" i="12"/>
  <c r="AL68" i="12"/>
  <c r="AI68" i="12"/>
  <c r="AN66" i="12"/>
  <c r="AS34" i="12"/>
  <c r="AL34" i="12"/>
  <c r="AK34" i="12"/>
  <c r="AH34" i="12"/>
  <c r="AR67" i="12"/>
  <c r="AS67" i="12"/>
  <c r="AQ36" i="12"/>
  <c r="AL36" i="12"/>
  <c r="AO66" i="12"/>
  <c r="AQ35" i="12"/>
  <c r="AR35" i="12"/>
  <c r="AI34" i="12"/>
  <c r="AL67" i="12"/>
  <c r="AI67" i="12"/>
  <c r="AK67" i="12"/>
  <c r="AH67" i="12"/>
  <c r="AK36" i="12"/>
  <c r="AH36" i="12"/>
  <c r="AI36" i="12"/>
  <c r="AP66" i="12"/>
  <c r="AS35" i="12"/>
  <c r="AQ66" i="12"/>
  <c r="AT35" i="12"/>
  <c r="AU35" i="12"/>
  <c r="AR66" i="12"/>
  <c r="AL66" i="12"/>
  <c r="AK66" i="12"/>
  <c r="AH66" i="12"/>
  <c r="AV35" i="12"/>
  <c r="AL35" i="12"/>
  <c r="AK35" i="12"/>
  <c r="B17" i="12"/>
  <c r="B19" i="12"/>
  <c r="AI35" i="12"/>
  <c r="AH35" i="12"/>
  <c r="B15" i="12"/>
  <c r="AK68" i="12"/>
  <c r="AH68" i="12"/>
  <c r="AK69" i="12"/>
  <c r="AH69" i="12"/>
  <c r="AI66" i="12"/>
</calcChain>
</file>

<file path=xl/sharedStrings.xml><?xml version="1.0" encoding="utf-8"?>
<sst xmlns="http://schemas.openxmlformats.org/spreadsheetml/2006/main" count="83" uniqueCount="77">
  <si>
    <t>排出量</t>
    <rPh sb="0" eb="2">
      <t>ハイシュツ</t>
    </rPh>
    <rPh sb="2" eb="3">
      <t>リョウ</t>
    </rPh>
    <phoneticPr fontId="2"/>
  </si>
  <si>
    <t>下水道使用料</t>
    <rPh sb="0" eb="3">
      <t>ゲスイドウ</t>
    </rPh>
    <rPh sb="3" eb="6">
      <t>シヨウリョウ</t>
    </rPh>
    <phoneticPr fontId="2"/>
  </si>
  <si>
    <t>一般家庭（家事用）</t>
    <rPh sb="0" eb="2">
      <t>イッパン</t>
    </rPh>
    <rPh sb="2" eb="4">
      <t>カテイ</t>
    </rPh>
    <rPh sb="5" eb="7">
      <t>カジ</t>
    </rPh>
    <rPh sb="7" eb="8">
      <t>ヨウ</t>
    </rPh>
    <phoneticPr fontId="2"/>
  </si>
  <si>
    <t>公衆浴場用</t>
  </si>
  <si>
    <t>公衆浴場用</t>
    <rPh sb="0" eb="2">
      <t>コウシュウ</t>
    </rPh>
    <rPh sb="2" eb="4">
      <t>ヨクジョウ</t>
    </rPh>
    <rPh sb="4" eb="5">
      <t>ヨウ</t>
    </rPh>
    <phoneticPr fontId="2"/>
  </si>
  <si>
    <t>業務用</t>
  </si>
  <si>
    <t>業務用</t>
    <rPh sb="0" eb="3">
      <t>ギョウムヨウ</t>
    </rPh>
    <phoneticPr fontId="2"/>
  </si>
  <si>
    <t>ﾌﾟｰﾙ・土木工事等</t>
    <rPh sb="5" eb="7">
      <t>ドボク</t>
    </rPh>
    <rPh sb="7" eb="8">
      <t>コウ</t>
    </rPh>
    <rPh sb="8" eb="9">
      <t>コト</t>
    </rPh>
    <rPh sb="9" eb="10">
      <t>トウ</t>
    </rPh>
    <phoneticPr fontId="2"/>
  </si>
  <si>
    <t>種別</t>
    <rPh sb="0" eb="2">
      <t>シュベツ</t>
    </rPh>
    <phoneticPr fontId="2"/>
  </si>
  <si>
    <t>メーター</t>
  </si>
  <si>
    <t>基本料金</t>
  </si>
  <si>
    <t>区分</t>
  </si>
  <si>
    <t>用途</t>
  </si>
  <si>
    <t>家事用</t>
  </si>
  <si>
    <t>プール用</t>
  </si>
  <si>
    <t>水量(㎥)
／期</t>
    <rPh sb="0" eb="2">
      <t>スイリョウ</t>
    </rPh>
    <rPh sb="7" eb="8">
      <t>キ</t>
    </rPh>
    <phoneticPr fontId="2"/>
  </si>
  <si>
    <t>使用料（税込）　
／期</t>
    <rPh sb="0" eb="3">
      <t>シヨウリョウ</t>
    </rPh>
    <rPh sb="10" eb="11">
      <t>キ</t>
    </rPh>
    <phoneticPr fontId="2"/>
  </si>
  <si>
    <t>使用料（税抜）
  ／期</t>
    <rPh sb="0" eb="3">
      <t>シヨウリョウ</t>
    </rPh>
    <rPh sb="5" eb="6">
      <t>ヌ</t>
    </rPh>
    <rPh sb="11" eb="12">
      <t>キ</t>
    </rPh>
    <phoneticPr fontId="2"/>
  </si>
  <si>
    <t>水量(㎥)
／月</t>
    <rPh sb="0" eb="2">
      <t>スイリョウ</t>
    </rPh>
    <rPh sb="7" eb="8">
      <t>ツキ</t>
    </rPh>
    <phoneticPr fontId="2"/>
  </si>
  <si>
    <t>使用料（税込）
  ／月</t>
    <rPh sb="0" eb="3">
      <t>シヨウリョウ</t>
    </rPh>
    <rPh sb="11" eb="12">
      <t>ツキ</t>
    </rPh>
    <phoneticPr fontId="2"/>
  </si>
  <si>
    <t>使用料（税抜）
  ／月</t>
    <rPh sb="0" eb="3">
      <t>シヨウリョウ</t>
    </rPh>
    <rPh sb="5" eb="6">
      <t>ヌ</t>
    </rPh>
    <rPh sb="11" eb="12">
      <t>ツキ</t>
    </rPh>
    <phoneticPr fontId="2"/>
  </si>
  <si>
    <t>第１次
～15㎥</t>
    <rPh sb="0" eb="1">
      <t>ダイ</t>
    </rPh>
    <rPh sb="2" eb="3">
      <t>ジ</t>
    </rPh>
    <phoneticPr fontId="2"/>
  </si>
  <si>
    <t>第２次
～20㎥</t>
    <rPh sb="0" eb="1">
      <t>ダイ</t>
    </rPh>
    <rPh sb="2" eb="3">
      <t>ジ</t>
    </rPh>
    <phoneticPr fontId="2"/>
  </si>
  <si>
    <t>第３次
～40㎥</t>
    <rPh sb="0" eb="1">
      <t>ダイ</t>
    </rPh>
    <rPh sb="2" eb="3">
      <t>ジ</t>
    </rPh>
    <phoneticPr fontId="2"/>
  </si>
  <si>
    <t>第４次
～100㎥</t>
    <rPh sb="0" eb="1">
      <t>ダイ</t>
    </rPh>
    <rPh sb="2" eb="3">
      <t>ジ</t>
    </rPh>
    <phoneticPr fontId="2"/>
  </si>
  <si>
    <t>料金（税込）　
／期</t>
    <rPh sb="0" eb="2">
      <t>リョウキン</t>
    </rPh>
    <rPh sb="9" eb="10">
      <t>キ</t>
    </rPh>
    <phoneticPr fontId="2"/>
  </si>
  <si>
    <t>料金（税抜）
  ／期</t>
    <rPh sb="0" eb="2">
      <t>リョウキン</t>
    </rPh>
    <rPh sb="4" eb="5">
      <t>ヌ</t>
    </rPh>
    <rPh sb="10" eb="11">
      <t>キ</t>
    </rPh>
    <phoneticPr fontId="2"/>
  </si>
  <si>
    <t>料金（税込）
  ／月</t>
    <rPh sb="0" eb="2">
      <t>リョウキン</t>
    </rPh>
    <rPh sb="10" eb="11">
      <t>ツキ</t>
    </rPh>
    <phoneticPr fontId="2"/>
  </si>
  <si>
    <t>料金（税抜）
  ／月</t>
    <rPh sb="0" eb="2">
      <t>リョウキン</t>
    </rPh>
    <rPh sb="4" eb="5">
      <t>ヌ</t>
    </rPh>
    <rPh sb="10" eb="11">
      <t>ツキ</t>
    </rPh>
    <phoneticPr fontId="2"/>
  </si>
  <si>
    <t>基本
～10㎥</t>
    <rPh sb="0" eb="2">
      <t>キホン</t>
    </rPh>
    <phoneticPr fontId="2"/>
  </si>
  <si>
    <t>㎜</t>
    <phoneticPr fontId="2"/>
  </si>
  <si>
    <t>第6次
201㎥～</t>
    <rPh sb="0" eb="1">
      <t>ダイ</t>
    </rPh>
    <rPh sb="2" eb="3">
      <t>ジ</t>
    </rPh>
    <phoneticPr fontId="2"/>
  </si>
  <si>
    <t>第５次
～200㎥</t>
    <rPh sb="0" eb="1">
      <t>ダイ</t>
    </rPh>
    <rPh sb="2" eb="3">
      <t>ジ</t>
    </rPh>
    <phoneticPr fontId="2"/>
  </si>
  <si>
    <t>基本
～6㎥</t>
    <rPh sb="0" eb="2">
      <t>キホン</t>
    </rPh>
    <phoneticPr fontId="2"/>
  </si>
  <si>
    <t>第１次
～10㎥</t>
    <rPh sb="0" eb="1">
      <t>ダイ</t>
    </rPh>
    <rPh sb="2" eb="3">
      <t>ジ</t>
    </rPh>
    <phoneticPr fontId="2"/>
  </si>
  <si>
    <t>第２次
～15㎥</t>
    <rPh sb="0" eb="1">
      <t>ダイ</t>
    </rPh>
    <rPh sb="2" eb="3">
      <t>ジ</t>
    </rPh>
    <phoneticPr fontId="2"/>
  </si>
  <si>
    <t>第３次
～20㎥</t>
    <rPh sb="0" eb="1">
      <t>ダイ</t>
    </rPh>
    <rPh sb="2" eb="3">
      <t>ジ</t>
    </rPh>
    <phoneticPr fontId="2"/>
  </si>
  <si>
    <t>第４次
～40㎥</t>
    <rPh sb="0" eb="1">
      <t>ダイ</t>
    </rPh>
    <rPh sb="2" eb="3">
      <t>ジ</t>
    </rPh>
    <phoneticPr fontId="2"/>
  </si>
  <si>
    <t>第５次
～100㎥</t>
    <rPh sb="0" eb="1">
      <t>ダイ</t>
    </rPh>
    <rPh sb="2" eb="3">
      <t>ジ</t>
    </rPh>
    <phoneticPr fontId="2"/>
  </si>
  <si>
    <t>第６次
～200㎥</t>
    <rPh sb="0" eb="1">
      <t>ダイ</t>
    </rPh>
    <rPh sb="2" eb="3">
      <t>ジ</t>
    </rPh>
    <phoneticPr fontId="2"/>
  </si>
  <si>
    <t>第７次
～500㎥</t>
    <rPh sb="0" eb="1">
      <t>ダイ</t>
    </rPh>
    <rPh sb="2" eb="3">
      <t>ジ</t>
    </rPh>
    <phoneticPr fontId="2"/>
  </si>
  <si>
    <t>第８次
～1000㎥</t>
    <rPh sb="0" eb="1">
      <t>ダイ</t>
    </rPh>
    <rPh sb="2" eb="3">
      <t>ジ</t>
    </rPh>
    <phoneticPr fontId="2"/>
  </si>
  <si>
    <t>第９次
1000㎥～</t>
    <rPh sb="0" eb="1">
      <t>ダイ</t>
    </rPh>
    <rPh sb="2" eb="3">
      <t>ジ</t>
    </rPh>
    <phoneticPr fontId="2"/>
  </si>
  <si>
    <t>㎥</t>
    <phoneticPr fontId="2"/>
  </si>
  <si>
    <t>水道料金</t>
    <rPh sb="0" eb="2">
      <t>スイドウ</t>
    </rPh>
    <rPh sb="2" eb="4">
      <t>リョウキン</t>
    </rPh>
    <phoneticPr fontId="2"/>
  </si>
  <si>
    <t>合計支払額</t>
    <rPh sb="0" eb="2">
      <t>ゴウケイ</t>
    </rPh>
    <rPh sb="2" eb="4">
      <t>シハライ</t>
    </rPh>
    <rPh sb="4" eb="5">
      <t>ガク</t>
    </rPh>
    <phoneticPr fontId="2"/>
  </si>
  <si>
    <t>メーター口径</t>
    <rPh sb="4" eb="6">
      <t>コウケイ</t>
    </rPh>
    <phoneticPr fontId="2"/>
  </si>
  <si>
    <t>使用水量</t>
    <rPh sb="0" eb="2">
      <t>シヨウ</t>
    </rPh>
    <rPh sb="2" eb="4">
      <t>スイリョウ</t>
    </rPh>
    <phoneticPr fontId="2"/>
  </si>
  <si>
    <t>㎥/期</t>
    <rPh sb="2" eb="3">
      <t>キ</t>
    </rPh>
    <phoneticPr fontId="2"/>
  </si>
  <si>
    <t>円（税込み）</t>
    <rPh sb="0" eb="1">
      <t>エン</t>
    </rPh>
    <phoneticPr fontId="2"/>
  </si>
  <si>
    <t>082-286-3186</t>
    <phoneticPr fontId="2"/>
  </si>
  <si>
    <t>一般家庭</t>
    <phoneticPr fontId="2"/>
  </si>
  <si>
    <t>業務用</t>
    <phoneticPr fontId="2"/>
  </si>
  <si>
    <t>公衆浴場</t>
    <phoneticPr fontId="2"/>
  </si>
  <si>
    <t>プール</t>
    <phoneticPr fontId="2"/>
  </si>
  <si>
    <t>←水道料金を計算する場合、リストから選択してください。</t>
    <rPh sb="1" eb="3">
      <t>スイドウ</t>
    </rPh>
    <rPh sb="3" eb="5">
      <t>リョウキン</t>
    </rPh>
    <rPh sb="6" eb="8">
      <t>ケイサン</t>
    </rPh>
    <rPh sb="10" eb="12">
      <t>バアイ</t>
    </rPh>
    <rPh sb="18" eb="20">
      <t>センタク</t>
    </rPh>
    <phoneticPr fontId="2"/>
  </si>
  <si>
    <t>←１期（２か月）あたりの使用水量を入力してください。</t>
    <rPh sb="2" eb="3">
      <t>キ</t>
    </rPh>
    <rPh sb="6" eb="7">
      <t>ゲツ</t>
    </rPh>
    <rPh sb="12" eb="14">
      <t>シヨウ</t>
    </rPh>
    <rPh sb="14" eb="16">
      <t>スイリョウ</t>
    </rPh>
    <rPh sb="17" eb="19">
      <t>ニュウリョク</t>
    </rPh>
    <phoneticPr fontId="2"/>
  </si>
  <si>
    <t xml:space="preserve"> ←ここをクリックして表示されるリストから選択してください。</t>
    <rPh sb="11" eb="13">
      <t>ヒョウジ</t>
    </rPh>
    <phoneticPr fontId="2"/>
  </si>
  <si>
    <t>府中町下水道条例第34条</t>
    <phoneticPr fontId="2"/>
  </si>
  <si>
    <t>広島市水道給水条例第26条から第28条</t>
    <phoneticPr fontId="2"/>
  </si>
  <si>
    <t xml:space="preserve">・福祉減免制度、料金算定特例制度をご利用の場合は、こちらの自動計算では計算できません。 </t>
    <phoneticPr fontId="2"/>
  </si>
  <si>
    <t>（計算実行日）</t>
    <rPh sb="1" eb="3">
      <t>ケイサン</t>
    </rPh>
    <rPh sb="3" eb="6">
      <t>ジッコウビ</t>
    </rPh>
    <phoneticPr fontId="2"/>
  </si>
  <si>
    <t>一般家庭汚水</t>
    <phoneticPr fontId="2"/>
  </si>
  <si>
    <t>業務用汚水</t>
    <phoneticPr fontId="2"/>
  </si>
  <si>
    <t>公衆浴場汚水</t>
    <phoneticPr fontId="2"/>
  </si>
  <si>
    <t>プール及び土木工事等による汚水</t>
    <phoneticPr fontId="2"/>
  </si>
  <si>
    <t>・着色部分を入力すれば、１期(２か月)あたりの下水道使用料と水道料金が計算できます。</t>
    <phoneticPr fontId="2"/>
  </si>
  <si>
    <t>府中町町民生活部下水道課</t>
    <rPh sb="0" eb="3">
      <t>フチュウチョウ</t>
    </rPh>
    <rPh sb="3" eb="5">
      <t>チョウミン</t>
    </rPh>
    <rPh sb="5" eb="7">
      <t>セイカツ</t>
    </rPh>
    <rPh sb="7" eb="8">
      <t>ブ</t>
    </rPh>
    <rPh sb="8" eb="11">
      <t>ゲスイドウ</t>
    </rPh>
    <rPh sb="11" eb="12">
      <t>カ</t>
    </rPh>
    <phoneticPr fontId="2"/>
  </si>
  <si>
    <r>
      <t>従量料金（1m</t>
    </r>
    <r>
      <rPr>
        <vertAlign val="superscript"/>
        <sz val="8"/>
        <color indexed="9"/>
        <rFont val="ＭＳ Ｐゴシック"/>
        <family val="3"/>
        <charset val="128"/>
      </rPr>
      <t>3</t>
    </r>
    <r>
      <rPr>
        <sz val="8"/>
        <color indexed="9"/>
        <rFont val="ＭＳ Ｐゴシック"/>
        <family val="3"/>
        <charset val="128"/>
      </rPr>
      <t>につき）</t>
    </r>
  </si>
  <si>
    <r>
      <t>0ｍ</t>
    </r>
    <r>
      <rPr>
        <vertAlign val="superscript"/>
        <sz val="8"/>
        <color indexed="9"/>
        <rFont val="ＭＳ Ｐゴシック"/>
        <family val="3"/>
        <charset val="128"/>
      </rPr>
      <t>3</t>
    </r>
    <phoneticPr fontId="2"/>
  </si>
  <si>
    <r>
      <t>11～15ｍ</t>
    </r>
    <r>
      <rPr>
        <vertAlign val="superscript"/>
        <sz val="8"/>
        <color indexed="9"/>
        <rFont val="ＭＳ Ｐゴシック"/>
        <family val="3"/>
        <charset val="128"/>
      </rPr>
      <t>3</t>
    </r>
    <phoneticPr fontId="2"/>
  </si>
  <si>
    <r>
      <t>16～20ｍ</t>
    </r>
    <r>
      <rPr>
        <vertAlign val="superscript"/>
        <sz val="8"/>
        <color indexed="9"/>
        <rFont val="ＭＳ Ｐゴシック"/>
        <family val="3"/>
        <charset val="128"/>
      </rPr>
      <t>3</t>
    </r>
    <phoneticPr fontId="2"/>
  </si>
  <si>
    <r>
      <t>21～40ｍ</t>
    </r>
    <r>
      <rPr>
        <vertAlign val="superscript"/>
        <sz val="8"/>
        <color indexed="9"/>
        <rFont val="ＭＳ Ｐゴシック"/>
        <family val="3"/>
        <charset val="128"/>
      </rPr>
      <t>3</t>
    </r>
    <phoneticPr fontId="2"/>
  </si>
  <si>
    <r>
      <t>41～100ｍ</t>
    </r>
    <r>
      <rPr>
        <vertAlign val="superscript"/>
        <sz val="8"/>
        <color indexed="9"/>
        <rFont val="ＭＳ Ｐゴシック"/>
        <family val="3"/>
        <charset val="128"/>
      </rPr>
      <t>3</t>
    </r>
    <phoneticPr fontId="2"/>
  </si>
  <si>
    <r>
      <t>101～200ｍ</t>
    </r>
    <r>
      <rPr>
        <vertAlign val="superscript"/>
        <sz val="8"/>
        <color indexed="9"/>
        <rFont val="ＭＳ Ｐゴシック"/>
        <family val="3"/>
        <charset val="128"/>
      </rPr>
      <t>3</t>
    </r>
    <phoneticPr fontId="2"/>
  </si>
  <si>
    <r>
      <t>201ｍ</t>
    </r>
    <r>
      <rPr>
        <vertAlign val="superscript"/>
        <sz val="8"/>
        <color indexed="9"/>
        <rFont val="ＭＳ Ｐゴシック"/>
        <family val="3"/>
        <charset val="128"/>
      </rPr>
      <t>3</t>
    </r>
    <r>
      <rPr>
        <sz val="8"/>
        <color indexed="9"/>
        <rFont val="ＭＳ Ｐゴシック"/>
        <family val="3"/>
        <charset val="128"/>
      </rPr>
      <t>～</t>
    </r>
    <phoneticPr fontId="2"/>
  </si>
  <si>
    <t>下水道使用料、水道料金自動計算（消費税10％)</t>
    <rPh sb="0" eb="3">
      <t>ゲスイドウ</t>
    </rPh>
    <rPh sb="3" eb="6">
      <t>シヨウリョウ</t>
    </rPh>
    <rPh sb="11" eb="13">
      <t>ジドウ</t>
    </rPh>
    <rPh sb="13" eb="15">
      <t>ケイサン</t>
    </rPh>
    <rPh sb="16" eb="19">
      <t>ショウヒゼイ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</si>
</sst>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9" formatCode="#,##0.0;[Red]\-#,##0.0"/>
    <numFmt numFmtId="181" formatCode="yyyy/m/d;@"/>
    <numFmt numFmtId="182" formatCode="[$-411]ggge&quot;年&quot;m&quot;月&quot;d&quot;日&quot;;@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6"/>
      <name val="ＭＳ Ｐゴシック"/>
      <family val="3"/>
      <charset val="128"/>
    </font>
    <font>
      <sz val="18"/>
      <color indexed="10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6"/>
      <color indexed="9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vertAlign val="superscript"/>
      <sz val="8"/>
      <color indexed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b/>
      <sz val="8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38" fontId="8" fillId="0" borderId="0" xfId="1" applyFont="1" applyBorder="1" applyAlignment="1"/>
    <xf numFmtId="0" fontId="8" fillId="0" borderId="0" xfId="0" applyFont="1" applyAlignment="1"/>
    <xf numFmtId="38" fontId="4" fillId="0" borderId="0" xfId="1" applyFont="1" applyFill="1" applyBorder="1" applyAlignme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/>
    <xf numFmtId="0" fontId="5" fillId="0" borderId="0" xfId="0" applyFont="1" applyAlignment="1">
      <alignment horizontal="righ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right" vertical="center"/>
      <protection locked="0"/>
    </xf>
    <xf numFmtId="38" fontId="7" fillId="2" borderId="1" xfId="1" applyFont="1" applyFill="1" applyBorder="1" applyAlignment="1" applyProtection="1">
      <protection locked="0"/>
    </xf>
    <xf numFmtId="38" fontId="7" fillId="0" borderId="1" xfId="1" applyFont="1" applyBorder="1" applyAlignment="1" applyProtection="1">
      <protection hidden="1"/>
    </xf>
    <xf numFmtId="0" fontId="15" fillId="0" borderId="0" xfId="0" applyFont="1" applyAlignment="1"/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1" fillId="3" borderId="0" xfId="0" applyFont="1" applyFill="1" applyBorder="1" applyAlignment="1" applyProtection="1">
      <alignment vertical="center"/>
      <protection hidden="1"/>
    </xf>
    <xf numFmtId="0" fontId="12" fillId="3" borderId="0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38" fontId="13" fillId="3" borderId="0" xfId="1" applyFont="1" applyFill="1" applyBorder="1" applyAlignment="1" applyProtection="1">
      <protection hidden="1"/>
    </xf>
    <xf numFmtId="0" fontId="13" fillId="3" borderId="0" xfId="0" applyFont="1" applyFill="1" applyBorder="1" applyAlignme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14" fillId="3" borderId="0" xfId="0" applyFont="1" applyFill="1" applyBorder="1" applyAlignment="1" applyProtection="1">
      <alignment vertical="center"/>
      <protection hidden="1"/>
    </xf>
    <xf numFmtId="0" fontId="11" fillId="3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11" fillId="3" borderId="0" xfId="0" applyFont="1" applyFill="1" applyBorder="1" applyAlignment="1" applyProtection="1">
      <alignment horizontal="right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protection hidden="1"/>
    </xf>
    <xf numFmtId="0" fontId="1" fillId="0" borderId="0" xfId="0" applyFont="1" applyAlignment="1"/>
    <xf numFmtId="0" fontId="1" fillId="3" borderId="0" xfId="0" applyFont="1" applyFill="1" applyBorder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16" fillId="3" borderId="0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vertical="center"/>
      <protection hidden="1"/>
    </xf>
    <xf numFmtId="0" fontId="17" fillId="3" borderId="0" xfId="0" applyFont="1" applyFill="1" applyBorder="1" applyAlignment="1" applyProtection="1">
      <alignment vertical="center"/>
      <protection hidden="1"/>
    </xf>
    <xf numFmtId="0" fontId="18" fillId="3" borderId="0" xfId="0" applyFont="1" applyFill="1" applyBorder="1" applyAlignment="1" applyProtection="1">
      <alignment vertical="center"/>
      <protection hidden="1"/>
    </xf>
    <xf numFmtId="0" fontId="18" fillId="3" borderId="0" xfId="0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 vertical="center" wrapText="1"/>
      <protection hidden="1"/>
    </xf>
    <xf numFmtId="38" fontId="2" fillId="3" borderId="0" xfId="1" applyFont="1" applyFill="1" applyBorder="1" applyAlignment="1" applyProtection="1">
      <alignment vertical="center"/>
      <protection locked="0" hidden="1"/>
    </xf>
    <xf numFmtId="38" fontId="19" fillId="3" borderId="0" xfId="1" applyNumberFormat="1" applyFont="1" applyFill="1" applyBorder="1" applyAlignment="1" applyProtection="1">
      <alignment vertical="center"/>
      <protection hidden="1"/>
    </xf>
    <xf numFmtId="38" fontId="2" fillId="3" borderId="0" xfId="1" applyNumberFormat="1" applyFont="1" applyFill="1" applyBorder="1" applyAlignment="1" applyProtection="1">
      <alignment vertical="center"/>
      <protection hidden="1"/>
    </xf>
    <xf numFmtId="179" fontId="2" fillId="3" borderId="0" xfId="1" applyNumberFormat="1" applyFont="1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protection hidden="1"/>
    </xf>
    <xf numFmtId="179" fontId="2" fillId="3" borderId="0" xfId="1" applyNumberFormat="1" applyFont="1" applyFill="1" applyBorder="1" applyAlignment="1" applyProtection="1">
      <alignment horizontal="right" vertical="center"/>
      <protection hidden="1"/>
    </xf>
    <xf numFmtId="179" fontId="2" fillId="3" borderId="0" xfId="0" applyNumberFormat="1" applyFont="1" applyFill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protection hidden="1"/>
    </xf>
    <xf numFmtId="0" fontId="16" fillId="3" borderId="0" xfId="0" applyFont="1" applyFill="1" applyBorder="1" applyAlignment="1" applyProtection="1">
      <alignment horizontal="center" vertical="center"/>
      <protection hidden="1"/>
    </xf>
    <xf numFmtId="38" fontId="16" fillId="3" borderId="0" xfId="1" applyFont="1" applyFill="1" applyBorder="1" applyAlignment="1" applyProtection="1">
      <alignment vertical="center"/>
      <protection hidden="1"/>
    </xf>
    <xf numFmtId="179" fontId="20" fillId="3" borderId="0" xfId="1" applyNumberFormat="1" applyFont="1" applyFill="1" applyBorder="1" applyAlignment="1" applyProtection="1">
      <alignment vertical="center"/>
      <protection hidden="1"/>
    </xf>
    <xf numFmtId="38" fontId="20" fillId="3" borderId="0" xfId="1" applyFont="1" applyFill="1" applyBorder="1" applyAlignment="1" applyProtection="1">
      <alignment vertical="center"/>
      <protection hidden="1"/>
    </xf>
    <xf numFmtId="0" fontId="21" fillId="3" borderId="0" xfId="0" applyFont="1" applyFill="1" applyBorder="1" applyAlignment="1" applyProtection="1">
      <alignment vertical="center"/>
      <protection hidden="1"/>
    </xf>
    <xf numFmtId="0" fontId="21" fillId="3" borderId="0" xfId="0" applyFont="1" applyFill="1" applyBorder="1" applyAlignment="1" applyProtection="1">
      <alignment horizontal="right" vertical="center"/>
      <protection hidden="1"/>
    </xf>
    <xf numFmtId="0" fontId="16" fillId="3" borderId="0" xfId="0" applyFont="1" applyFill="1" applyBorder="1" applyAlignment="1" applyProtection="1">
      <alignment horizontal="right" vertical="center"/>
      <protection hidden="1"/>
    </xf>
    <xf numFmtId="0" fontId="22" fillId="3" borderId="0" xfId="0" applyFont="1" applyFill="1" applyBorder="1" applyAlignment="1" applyProtection="1">
      <alignment vertical="center"/>
      <protection hidden="1"/>
    </xf>
    <xf numFmtId="38" fontId="23" fillId="3" borderId="0" xfId="1" applyFont="1" applyFill="1" applyBorder="1" applyAlignment="1" applyProtection="1">
      <protection hidden="1"/>
    </xf>
    <xf numFmtId="0" fontId="22" fillId="3" borderId="0" xfId="0" applyFont="1" applyFill="1" applyBorder="1" applyAlignment="1" applyProtection="1">
      <protection hidden="1"/>
    </xf>
    <xf numFmtId="0" fontId="24" fillId="3" borderId="0" xfId="0" applyFont="1" applyFill="1" applyBorder="1" applyAlignment="1" applyProtection="1">
      <alignment vertical="center"/>
      <protection hidden="1"/>
    </xf>
    <xf numFmtId="0" fontId="24" fillId="3" borderId="0" xfId="0" applyFont="1" applyFill="1" applyBorder="1" applyAlignment="1" applyProtection="1">
      <alignment horizontal="right" vertical="center"/>
      <protection hidden="1"/>
    </xf>
    <xf numFmtId="0" fontId="2" fillId="3" borderId="0" xfId="0" applyFont="1" applyFill="1" applyBorder="1" applyAlignment="1" applyProtection="1">
      <alignment horizontal="center" vertical="center"/>
      <protection hidden="1"/>
    </xf>
    <xf numFmtId="38" fontId="24" fillId="3" borderId="0" xfId="1" applyFont="1" applyFill="1" applyBorder="1" applyAlignment="1" applyProtection="1">
      <alignment vertical="center"/>
      <protection locked="0" hidden="1"/>
    </xf>
    <xf numFmtId="38" fontId="25" fillId="3" borderId="0" xfId="1" applyNumberFormat="1" applyFont="1" applyFill="1" applyBorder="1" applyAlignment="1" applyProtection="1">
      <alignment vertical="center"/>
      <protection hidden="1"/>
    </xf>
    <xf numFmtId="38" fontId="26" fillId="3" borderId="0" xfId="1" applyNumberFormat="1" applyFont="1" applyFill="1" applyBorder="1" applyAlignment="1" applyProtection="1">
      <alignment vertical="center"/>
      <protection hidden="1"/>
    </xf>
    <xf numFmtId="38" fontId="21" fillId="3" borderId="0" xfId="1" applyFont="1" applyFill="1" applyBorder="1" applyAlignment="1" applyProtection="1">
      <alignment vertical="center"/>
      <protection locked="0" hidden="1"/>
    </xf>
    <xf numFmtId="179" fontId="20" fillId="3" borderId="0" xfId="1" applyNumberFormat="1" applyFont="1" applyFill="1" applyBorder="1" applyAlignment="1" applyProtection="1">
      <alignment horizontal="right" vertical="center"/>
      <protection hidden="1"/>
    </xf>
    <xf numFmtId="179" fontId="20" fillId="3" borderId="0" xfId="0" applyNumberFormat="1" applyFont="1" applyFill="1" applyBorder="1" applyAlignment="1" applyProtection="1">
      <alignment vertical="center"/>
      <protection hidden="1"/>
    </xf>
    <xf numFmtId="0" fontId="21" fillId="3" borderId="0" xfId="0" applyFont="1" applyFill="1" applyBorder="1" applyAlignment="1" applyProtection="1">
      <alignment horizontal="center" vertical="center"/>
      <protection hidden="1"/>
    </xf>
    <xf numFmtId="38" fontId="21" fillId="3" borderId="0" xfId="1" applyFont="1" applyFill="1" applyBorder="1" applyAlignment="1" applyProtection="1">
      <alignment vertical="center"/>
      <protection hidden="1"/>
    </xf>
    <xf numFmtId="0" fontId="27" fillId="0" borderId="0" xfId="0" applyFont="1" applyAlignment="1">
      <alignment horizontal="left" vertical="center"/>
    </xf>
    <xf numFmtId="0" fontId="0" fillId="3" borderId="0" xfId="0" applyFont="1" applyFill="1" applyBorder="1" applyAlignment="1" applyProtection="1">
      <alignment horizontal="center" vertical="center" wrapText="1"/>
      <protection hidden="1"/>
    </xf>
    <xf numFmtId="0" fontId="30" fillId="3" borderId="0" xfId="0" applyFont="1" applyFill="1" applyBorder="1" applyAlignment="1" applyProtection="1">
      <alignment vertical="center"/>
      <protection hidden="1"/>
    </xf>
    <xf numFmtId="0" fontId="31" fillId="3" borderId="0" xfId="0" applyFont="1" applyFill="1" applyBorder="1" applyAlignment="1" applyProtection="1">
      <alignment vertical="center"/>
      <protection hidden="1"/>
    </xf>
    <xf numFmtId="0" fontId="32" fillId="3" borderId="0" xfId="0" applyFont="1" applyFill="1" applyBorder="1" applyAlignment="1" applyProtection="1">
      <alignment vertical="center"/>
      <protection hidden="1"/>
    </xf>
    <xf numFmtId="0" fontId="33" fillId="3" borderId="0" xfId="0" applyFont="1" applyFill="1" applyBorder="1" applyAlignment="1" applyProtection="1">
      <alignment horizontal="center" vertical="center" wrapText="1"/>
      <protection hidden="1"/>
    </xf>
    <xf numFmtId="0" fontId="33" fillId="3" borderId="0" xfId="0" applyFont="1" applyFill="1" applyBorder="1" applyProtection="1">
      <alignment vertical="center"/>
      <protection hidden="1"/>
    </xf>
    <xf numFmtId="49" fontId="33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33" fillId="3" borderId="0" xfId="0" applyFont="1" applyFill="1" applyBorder="1" applyAlignment="1" applyProtection="1">
      <alignment vertical="center" wrapText="1"/>
      <protection hidden="1"/>
    </xf>
    <xf numFmtId="3" fontId="33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33" fillId="3" borderId="0" xfId="0" applyFont="1" applyFill="1" applyBorder="1" applyAlignment="1" applyProtection="1">
      <alignment horizontal="center" vertical="center"/>
      <protection hidden="1"/>
    </xf>
    <xf numFmtId="0" fontId="33" fillId="3" borderId="0" xfId="0" applyFont="1" applyFill="1" applyBorder="1" applyAlignment="1" applyProtection="1">
      <alignment vertical="center"/>
      <protection hidden="1"/>
    </xf>
    <xf numFmtId="0" fontId="34" fillId="3" borderId="0" xfId="0" applyFont="1" applyFill="1" applyBorder="1" applyAlignment="1" applyProtection="1">
      <alignment horizontal="center" vertical="center"/>
      <protection hidden="1"/>
    </xf>
    <xf numFmtId="182" fontId="15" fillId="0" borderId="0" xfId="0" applyNumberFormat="1" applyFont="1" applyAlignment="1" applyProtection="1">
      <alignment horizontal="left" vertical="center"/>
      <protection hidden="1"/>
    </xf>
    <xf numFmtId="0" fontId="0" fillId="0" borderId="0" xfId="0" applyAlignment="1">
      <alignment horizontal="right" vertical="center"/>
    </xf>
    <xf numFmtId="181" fontId="30" fillId="3" borderId="0" xfId="0" applyNumberFormat="1" applyFont="1" applyFill="1" applyBorder="1" applyAlignment="1" applyProtection="1">
      <alignment horizontal="right" vertical="center"/>
      <protection hidden="1"/>
    </xf>
    <xf numFmtId="0" fontId="33" fillId="3" borderId="0" xfId="0" applyFont="1" applyFill="1" applyBorder="1" applyAlignment="1" applyProtection="1">
      <alignment horizontal="center" vertical="center" wrapTex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4"/>
  <sheetViews>
    <sheetView showGridLines="0" tabSelected="1" workbookViewId="0">
      <selection activeCell="B8" sqref="B8"/>
    </sheetView>
  </sheetViews>
  <sheetFormatPr defaultRowHeight="13.5"/>
  <cols>
    <col min="1" max="1" width="23.5" style="11" bestFit="1" customWidth="1"/>
    <col min="2" max="2" width="32.625" style="2" bestFit="1" customWidth="1"/>
    <col min="3" max="3" width="5.75" style="2" customWidth="1"/>
    <col min="4" max="4" width="5.5" style="2" customWidth="1"/>
    <col min="5" max="5" width="9.125" style="2" customWidth="1"/>
    <col min="6" max="6" width="11.75" style="2" bestFit="1" customWidth="1"/>
    <col min="7" max="7" width="10.625" style="2" bestFit="1" customWidth="1"/>
    <col min="8" max="8" width="8.375" style="2" bestFit="1" customWidth="1"/>
    <col min="9" max="10" width="9.375" style="2" bestFit="1" customWidth="1"/>
    <col min="11" max="11" width="9.125" style="2" customWidth="1"/>
    <col min="12" max="12" width="8.375" style="2" bestFit="1" customWidth="1"/>
    <col min="13" max="13" width="9.125" style="2" customWidth="1"/>
    <col min="14" max="14" width="9.125" style="22" bestFit="1" customWidth="1"/>
    <col min="15" max="15" width="6.875" style="22" bestFit="1" customWidth="1"/>
    <col min="16" max="18" width="5.75" style="22" bestFit="1" customWidth="1"/>
    <col min="19" max="19" width="5.25" style="22" bestFit="1" customWidth="1"/>
    <col min="20" max="20" width="5.75" style="22" bestFit="1" customWidth="1"/>
    <col min="21" max="56" width="9" style="22"/>
    <col min="57" max="16384" width="9" style="2"/>
  </cols>
  <sheetData>
    <row r="1" spans="1:56" s="40" customFormat="1" ht="32.25">
      <c r="A1" s="80" t="s">
        <v>76</v>
      </c>
      <c r="B1" s="2"/>
      <c r="C1" s="2"/>
      <c r="D1" s="2"/>
      <c r="E1" s="2"/>
      <c r="F1" s="2"/>
      <c r="G1" s="2"/>
      <c r="H1" s="2"/>
      <c r="I1" s="94" t="s">
        <v>61</v>
      </c>
      <c r="J1" s="94"/>
      <c r="K1" s="93">
        <f ca="1">TODAY()</f>
        <v>43728</v>
      </c>
      <c r="L1" s="93"/>
      <c r="M1" s="93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</row>
    <row r="2" spans="1:56" s="40" customFormat="1">
      <c r="A2" s="1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</row>
    <row r="3" spans="1:56" s="42" customFormat="1" ht="27.75" customHeight="1">
      <c r="A3" s="15" t="s">
        <v>66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</row>
    <row r="4" spans="1:56" s="42" customFormat="1" ht="27.75" customHeight="1">
      <c r="A4" s="15" t="s">
        <v>60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</row>
    <row r="5" spans="1:56" s="42" customFormat="1" ht="27.75" customHeight="1">
      <c r="A5" s="1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</row>
    <row r="6" spans="1:56" s="42" customFormat="1" ht="21">
      <c r="A6" s="1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</row>
    <row r="7" spans="1:56" s="40" customFormat="1" ht="14.25" thickBot="1">
      <c r="A7" s="1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4"/>
      <c r="AD7" s="24"/>
      <c r="AE7" s="24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</row>
    <row r="8" spans="1:56" s="40" customFormat="1" ht="45.75" customHeight="1" thickBot="1">
      <c r="A8" s="12" t="s">
        <v>8</v>
      </c>
      <c r="B8" s="17"/>
      <c r="C8" s="21" t="s">
        <v>57</v>
      </c>
      <c r="D8" s="5"/>
      <c r="E8" s="2"/>
      <c r="F8" s="2"/>
      <c r="G8" s="2"/>
      <c r="H8" s="2"/>
      <c r="I8" s="2"/>
      <c r="J8" s="2"/>
      <c r="K8" s="2"/>
      <c r="L8" s="2"/>
      <c r="M8" s="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4"/>
      <c r="AD8" s="24"/>
      <c r="AE8" s="24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</row>
    <row r="9" spans="1:56" s="40" customFormat="1" ht="18.75" customHeight="1" thickBot="1">
      <c r="A9" s="1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4"/>
      <c r="AD9" s="24"/>
      <c r="AE9" s="24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</row>
    <row r="10" spans="1:56" s="40" customFormat="1" ht="45.75" customHeight="1" thickBot="1">
      <c r="A10" s="12" t="s">
        <v>46</v>
      </c>
      <c r="B10" s="18"/>
      <c r="C10" s="5" t="s">
        <v>30</v>
      </c>
      <c r="D10" s="21" t="s">
        <v>55</v>
      </c>
      <c r="E10" s="2"/>
      <c r="F10" s="2"/>
      <c r="G10" s="2"/>
      <c r="H10" s="2"/>
      <c r="I10" s="2"/>
      <c r="J10" s="2"/>
      <c r="K10" s="2"/>
      <c r="L10" s="2"/>
      <c r="M10" s="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4"/>
      <c r="AD10" s="24"/>
      <c r="AE10" s="24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</row>
    <row r="11" spans="1:56" s="40" customFormat="1" ht="18.75" customHeight="1" thickBot="1">
      <c r="A11" s="1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4"/>
      <c r="AD11" s="24"/>
      <c r="AE11" s="24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</row>
    <row r="12" spans="1:56" s="40" customFormat="1" ht="45.75" customHeight="1" thickBot="1">
      <c r="A12" s="12" t="s">
        <v>47</v>
      </c>
      <c r="B12" s="19"/>
      <c r="C12" s="5" t="s">
        <v>48</v>
      </c>
      <c r="D12" s="2"/>
      <c r="E12" s="21" t="s">
        <v>56</v>
      </c>
      <c r="F12" s="2"/>
      <c r="G12" s="2"/>
      <c r="H12" s="2"/>
      <c r="I12" s="2"/>
      <c r="J12" s="2"/>
      <c r="K12" s="2"/>
      <c r="L12" s="2"/>
      <c r="M12" s="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</row>
    <row r="13" spans="1:56" s="40" customFormat="1" ht="18.75" customHeight="1">
      <c r="A13" s="12"/>
      <c r="B13" s="10"/>
      <c r="C13" s="5"/>
      <c r="D13" s="2"/>
      <c r="E13" s="2"/>
      <c r="F13" s="2"/>
      <c r="G13" s="2"/>
      <c r="H13" s="2"/>
      <c r="I13" s="2"/>
      <c r="J13" s="2"/>
      <c r="K13" s="2"/>
      <c r="L13" s="2"/>
      <c r="M13" s="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</row>
    <row r="14" spans="1:56" s="40" customFormat="1" ht="18.75" customHeight="1" thickBot="1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5"/>
      <c r="AD14" s="22"/>
      <c r="AE14" s="22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</row>
    <row r="15" spans="1:56" s="40" customFormat="1" ht="45.75" customHeight="1" thickBot="1">
      <c r="A15" s="12" t="s">
        <v>1</v>
      </c>
      <c r="B15" s="20" t="str">
        <f>IF(B12="","",IF($B$8=$AJ$55,$AH$34,IF($B$8=$AJ$56,$AH$35,IF($B$8=$AJ$57,$AH$36,IF($B$8=$AJ$58,$AH$37,"")))))</f>
        <v/>
      </c>
      <c r="C15" s="4" t="s">
        <v>49</v>
      </c>
      <c r="D15" s="14"/>
      <c r="E15" s="2"/>
      <c r="F15" s="1" t="s">
        <v>58</v>
      </c>
      <c r="G15" s="2"/>
      <c r="H15" s="2"/>
      <c r="I15" s="2"/>
      <c r="J15" s="2"/>
      <c r="K15" s="2"/>
      <c r="L15" s="2"/>
      <c r="M15" s="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5"/>
      <c r="AD15" s="25"/>
      <c r="AE15" s="22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</row>
    <row r="16" spans="1:56" s="40" customFormat="1" ht="18.75" customHeight="1" thickBot="1">
      <c r="A16" s="12"/>
      <c r="B16" s="2"/>
      <c r="C16" s="2"/>
      <c r="D16" s="2"/>
      <c r="E16" s="2"/>
      <c r="F16" s="1"/>
      <c r="G16" s="2"/>
      <c r="H16" s="2"/>
      <c r="I16" s="2"/>
      <c r="J16" s="2"/>
      <c r="K16" s="2"/>
      <c r="L16" s="2"/>
      <c r="M16" s="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5"/>
      <c r="AD16" s="25"/>
      <c r="AE16" s="25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</row>
    <row r="17" spans="1:56" s="40" customFormat="1" ht="45.75" customHeight="1" thickBot="1">
      <c r="A17" s="12" t="s">
        <v>44</v>
      </c>
      <c r="B17" s="20" t="str">
        <f>IF(B12="","",IF(ISERROR(IF($AH$62=$AJ$55,$AH$66,IF($AH$62=$AJ$56,$AH$67,IF($AH$62=$AJ$57,$AH$68,IF($AH$62=$AJ$58,$AH$69,"")))))=TRUE,"",IF($AH$62=$AJ$55,$AH$66,IF($AH$62=$AJ$56,$AH$67,IF($AH$62=$AJ$57,$AH$68,IF($AH$62=$AJ$58,$AH$69,""))))))</f>
        <v/>
      </c>
      <c r="C17" s="4" t="s">
        <v>49</v>
      </c>
      <c r="D17" s="2"/>
      <c r="E17" s="2"/>
      <c r="F17" s="1" t="s">
        <v>59</v>
      </c>
      <c r="G17" s="2"/>
      <c r="H17" s="2"/>
      <c r="I17" s="2"/>
      <c r="J17" s="2"/>
      <c r="K17" s="2"/>
      <c r="L17" s="2"/>
      <c r="M17" s="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5"/>
      <c r="AD17" s="25"/>
      <c r="AE17" s="25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</row>
    <row r="18" spans="1:56" s="40" customFormat="1" ht="18.75" customHeight="1" thickBot="1">
      <c r="A18" s="12"/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5"/>
      <c r="AD18" s="25"/>
      <c r="AE18" s="25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</row>
    <row r="19" spans="1:56" s="40" customFormat="1" ht="45.75" customHeight="1" thickBot="1">
      <c r="A19" s="12" t="s">
        <v>45</v>
      </c>
      <c r="B19" s="20" t="str">
        <f>IF(B17="",B15,B15+B17)</f>
        <v/>
      </c>
      <c r="C19" s="4" t="s">
        <v>49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5"/>
      <c r="AD19" s="25"/>
      <c r="AE19" s="25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</row>
    <row r="20" spans="1:56" s="40" customFormat="1" ht="24">
      <c r="A20" s="11"/>
      <c r="B20" s="11"/>
      <c r="C20" s="11"/>
      <c r="D20" s="11"/>
      <c r="E20" s="11"/>
      <c r="F20" s="11"/>
      <c r="G20" s="11"/>
      <c r="H20" s="11"/>
      <c r="I20" s="2"/>
      <c r="J20" s="2"/>
      <c r="K20" s="2"/>
      <c r="L20" s="16" t="s">
        <v>67</v>
      </c>
      <c r="M20" s="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</row>
    <row r="21" spans="1:56" s="40" customFormat="1" ht="24">
      <c r="A21" s="11"/>
      <c r="B21" s="11"/>
      <c r="C21" s="11"/>
      <c r="D21" s="11"/>
      <c r="E21" s="11"/>
      <c r="F21" s="11"/>
      <c r="G21" s="11"/>
      <c r="H21" s="11"/>
      <c r="I21" s="2"/>
      <c r="J21" s="2"/>
      <c r="K21" s="2"/>
      <c r="L21" s="16" t="s">
        <v>50</v>
      </c>
      <c r="M21" s="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7"/>
      <c r="AD21" s="27"/>
      <c r="AE21" s="27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39"/>
      <c r="BD21" s="39"/>
    </row>
    <row r="22" spans="1:56" s="40" customFormat="1">
      <c r="A22" s="1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7"/>
      <c r="AD22" s="27"/>
      <c r="AE22" s="27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39"/>
      <c r="BD22" s="39"/>
    </row>
    <row r="23" spans="1:56" s="40" customFormat="1">
      <c r="A23" s="1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7"/>
      <c r="AD23" s="27"/>
      <c r="AE23" s="27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39"/>
      <c r="BD23" s="39"/>
    </row>
    <row r="24" spans="1:56" s="40" customFormat="1">
      <c r="A24" s="1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7"/>
      <c r="AD24" s="27"/>
      <c r="AE24" s="27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39"/>
      <c r="BD24" s="39"/>
    </row>
    <row r="25" spans="1:56" s="6" customFormat="1">
      <c r="A25" s="13"/>
      <c r="D25" s="2"/>
      <c r="E25" s="2"/>
      <c r="F25" s="2"/>
      <c r="G25" s="2"/>
      <c r="H25" s="2"/>
      <c r="I25" s="2"/>
      <c r="J25" s="2"/>
      <c r="K25" s="2"/>
      <c r="L25" s="2"/>
      <c r="M25" s="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7"/>
      <c r="AD25" s="27"/>
      <c r="AE25" s="27"/>
      <c r="AF25" s="43"/>
      <c r="AG25" s="43"/>
      <c r="AH25" s="43"/>
      <c r="AI25" s="43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26"/>
      <c r="BD25" s="26"/>
    </row>
    <row r="26" spans="1:56" s="6" customFormat="1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7"/>
      <c r="AD26" s="27"/>
      <c r="AE26" s="27"/>
      <c r="AF26" s="45"/>
      <c r="AG26" s="45"/>
      <c r="AH26" s="45"/>
      <c r="AI26" s="45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26"/>
      <c r="BD26" s="26"/>
    </row>
    <row r="27" spans="1:56" s="6" customFormat="1">
      <c r="A27" s="13"/>
      <c r="D27" s="2"/>
      <c r="E27" s="2"/>
      <c r="F27" s="2"/>
      <c r="G27" s="2"/>
      <c r="H27" s="2"/>
      <c r="I27" s="2"/>
      <c r="J27" s="2"/>
      <c r="K27" s="2"/>
      <c r="L27" s="2"/>
      <c r="M27" s="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7"/>
      <c r="AD27" s="27"/>
      <c r="AE27" s="27"/>
      <c r="AF27" s="45"/>
      <c r="AG27" s="45"/>
      <c r="AH27" s="45"/>
      <c r="AI27" s="45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28"/>
      <c r="AW27" s="28"/>
      <c r="AX27" s="28"/>
      <c r="AY27" s="28"/>
      <c r="AZ27" s="28"/>
      <c r="BA27" s="28"/>
      <c r="BB27" s="28"/>
      <c r="BC27" s="26"/>
      <c r="BD27" s="26"/>
    </row>
    <row r="28" spans="1:56" s="6" customFormat="1">
      <c r="A28" s="13"/>
      <c r="B28" s="8"/>
      <c r="C28" s="9"/>
      <c r="D28" s="2"/>
      <c r="E28" s="2"/>
      <c r="F28" s="2"/>
      <c r="G28" s="2"/>
      <c r="H28" s="2"/>
      <c r="I28" s="2"/>
      <c r="J28" s="2"/>
      <c r="K28" s="2"/>
      <c r="L28" s="2"/>
      <c r="M28" s="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7"/>
      <c r="AD28" s="27"/>
      <c r="AE28" s="27"/>
      <c r="AF28" s="45"/>
      <c r="AG28" s="45"/>
      <c r="AH28" s="45"/>
      <c r="AI28" s="45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28"/>
      <c r="AW28" s="28"/>
      <c r="AX28" s="28"/>
      <c r="AY28" s="28"/>
      <c r="AZ28" s="28"/>
      <c r="BA28" s="28"/>
      <c r="BB28" s="28"/>
      <c r="BC28" s="26"/>
      <c r="BD28" s="26"/>
    </row>
    <row r="29" spans="1:56">
      <c r="A29" s="2"/>
      <c r="AB29" s="29"/>
      <c r="AC29" s="30"/>
      <c r="AD29" s="31"/>
      <c r="AE29" s="27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27"/>
      <c r="AW29" s="27"/>
      <c r="AX29" s="27"/>
      <c r="AY29" s="27"/>
      <c r="AZ29" s="27"/>
      <c r="BA29" s="27"/>
      <c r="BB29" s="27"/>
    </row>
    <row r="30" spans="1:56">
      <c r="A30" s="2"/>
      <c r="AB30" s="29"/>
      <c r="AC30" s="30"/>
      <c r="AD30" s="31"/>
      <c r="AE30" s="27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27"/>
      <c r="AW30" s="27"/>
      <c r="AX30" s="27"/>
      <c r="AY30" s="27"/>
      <c r="AZ30" s="27"/>
      <c r="BA30" s="27"/>
      <c r="BB30" s="27"/>
    </row>
    <row r="31" spans="1:56">
      <c r="A31" s="2"/>
      <c r="AB31" s="29"/>
      <c r="AC31" s="30"/>
      <c r="AD31" s="31"/>
      <c r="AE31" s="27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27"/>
      <c r="AW31" s="27"/>
      <c r="AX31" s="27"/>
      <c r="AY31" s="27"/>
      <c r="AZ31" s="27"/>
      <c r="BA31" s="27"/>
      <c r="BB31" s="27"/>
    </row>
    <row r="32" spans="1:56">
      <c r="A32" s="2"/>
      <c r="AB32" s="32"/>
      <c r="AC32" s="27"/>
      <c r="AD32" s="27"/>
      <c r="AE32" s="27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33"/>
      <c r="AW32" s="33"/>
      <c r="AX32" s="33"/>
      <c r="AY32" s="33"/>
      <c r="AZ32" s="33"/>
      <c r="BA32" s="33"/>
      <c r="BB32" s="33"/>
      <c r="BC32" s="24"/>
    </row>
    <row r="33" spans="1:62" ht="18">
      <c r="A33" s="2"/>
      <c r="AB33" s="32"/>
      <c r="AC33" s="27"/>
      <c r="AD33" s="27"/>
      <c r="AE33" s="43"/>
      <c r="AF33" s="46"/>
      <c r="AG33" s="50" t="s">
        <v>15</v>
      </c>
      <c r="AH33" s="50" t="s">
        <v>16</v>
      </c>
      <c r="AI33" s="50" t="s">
        <v>17</v>
      </c>
      <c r="AJ33" s="50" t="s">
        <v>18</v>
      </c>
      <c r="AK33" s="50" t="s">
        <v>19</v>
      </c>
      <c r="AL33" s="50" t="s">
        <v>20</v>
      </c>
      <c r="AM33" s="50" t="s">
        <v>33</v>
      </c>
      <c r="AN33" s="50" t="s">
        <v>34</v>
      </c>
      <c r="AO33" s="50" t="s">
        <v>35</v>
      </c>
      <c r="AP33" s="50" t="s">
        <v>36</v>
      </c>
      <c r="AQ33" s="50" t="s">
        <v>37</v>
      </c>
      <c r="AR33" s="50" t="s">
        <v>38</v>
      </c>
      <c r="AS33" s="50" t="s">
        <v>39</v>
      </c>
      <c r="AT33" s="50" t="s">
        <v>40</v>
      </c>
      <c r="AU33" s="50" t="s">
        <v>41</v>
      </c>
      <c r="AV33" s="50" t="s">
        <v>42</v>
      </c>
      <c r="AW33" s="46"/>
      <c r="AX33" s="46"/>
      <c r="AY33" s="46"/>
      <c r="AZ33" s="46"/>
      <c r="BA33" s="33"/>
      <c r="BB33" s="33"/>
      <c r="BC33" s="24"/>
    </row>
    <row r="34" spans="1:62">
      <c r="A34" s="2"/>
      <c r="AB34" s="32"/>
      <c r="AC34" s="27"/>
      <c r="AD34" s="27"/>
      <c r="AE34" s="45"/>
      <c r="AF34" s="46" t="s">
        <v>62</v>
      </c>
      <c r="AG34" s="51">
        <f>$B$12</f>
        <v>0</v>
      </c>
      <c r="AH34" s="52">
        <f>ROUNDDOWN(AK34*2,0)</f>
        <v>1529</v>
      </c>
      <c r="AI34" s="53">
        <f>ROUNDDOWN(AL34*2,0)</f>
        <v>1390</v>
      </c>
      <c r="AJ34" s="54">
        <f>AG34/2</f>
        <v>0</v>
      </c>
      <c r="AK34" s="54">
        <f>AL34*1.1</f>
        <v>764.50000000000011</v>
      </c>
      <c r="AL34" s="54">
        <f>695+AN34*5+AO34*106+AP34*162+AQ34*233+AR34*311+AS34*344</f>
        <v>695</v>
      </c>
      <c r="AM34" s="54">
        <f>IF($AJ34&lt;6,$AJ34,6)</f>
        <v>0</v>
      </c>
      <c r="AN34" s="54">
        <f>IF($AJ34&gt;AM34,IF($AJ34&lt;10,$AJ34-AM34,4),0)</f>
        <v>0</v>
      </c>
      <c r="AO34" s="54">
        <f>IF($AJ34&gt;SUM(AM34:AN34),IF($AJ34&lt;15,$AJ34-AM34-AN34,5),0)</f>
        <v>0</v>
      </c>
      <c r="AP34" s="54">
        <f>IF($AJ34&gt;SUM(AM34:AO34),IF($AJ34&lt;20,$AJ34-AM34-AN34-AO34,5),0)</f>
        <v>0</v>
      </c>
      <c r="AQ34" s="54">
        <f>IF($AJ34&gt;SUM(AM34:AP34),IF($AJ34&lt;40,$AJ34-AM34-AN34-AO34-AP34,20),0)</f>
        <v>0</v>
      </c>
      <c r="AR34" s="54">
        <f>IF($AJ34&gt;SUM(AM34:AQ34),IF($AJ34&lt;100,$AJ34-AM34-AN34-AO34-AP34-AQ34,60),0)</f>
        <v>0</v>
      </c>
      <c r="AS34" s="54">
        <f>IF($AJ34&gt;SUM(AM34:AR34),$AJ34-AM34-AN34-AO34-AP34-AQ34-AR34,0)</f>
        <v>0</v>
      </c>
      <c r="AT34" s="46"/>
      <c r="AU34" s="46"/>
      <c r="AV34" s="46"/>
      <c r="AW34" s="46"/>
      <c r="AX34" s="46"/>
      <c r="AY34" s="46"/>
      <c r="AZ34" s="46"/>
      <c r="BA34" s="33"/>
      <c r="BB34" s="33"/>
      <c r="BC34" s="24"/>
    </row>
    <row r="35" spans="1:62" ht="24">
      <c r="A35" s="2"/>
      <c r="AB35" s="32"/>
      <c r="AC35" s="27"/>
      <c r="AD35" s="27"/>
      <c r="AE35" s="55"/>
      <c r="AF35" s="46" t="s">
        <v>63</v>
      </c>
      <c r="AG35" s="51">
        <f>$B$12</f>
        <v>0</v>
      </c>
      <c r="AH35" s="52">
        <f t="shared" ref="AH35:AI37" si="0">ROUNDDOWN(AK35*2,0)</f>
        <v>1529</v>
      </c>
      <c r="AI35" s="53">
        <f t="shared" si="0"/>
        <v>1390</v>
      </c>
      <c r="AJ35" s="54">
        <f>AG35/2</f>
        <v>0</v>
      </c>
      <c r="AK35" s="54">
        <f>AL35*1.1</f>
        <v>764.50000000000011</v>
      </c>
      <c r="AL35" s="56">
        <f>695+AN35*5+AO35*106+AP35*177+AQ35*256+AR35*326+AS35*395+AT35*440+AU35*472+AV35*495</f>
        <v>695</v>
      </c>
      <c r="AM35" s="54">
        <f>IF($AJ35&lt;6,$AJ35,6)</f>
        <v>0</v>
      </c>
      <c r="AN35" s="54">
        <f>IF($AJ35&gt;AM35,IF($AJ35&lt;10,$AJ35-AM35,4),0)</f>
        <v>0</v>
      </c>
      <c r="AO35" s="54">
        <f>IF($AJ35&gt;SUM(AM35:AN35),IF($AJ35&lt;15,$AJ35-AM35-AN35,5),0)</f>
        <v>0</v>
      </c>
      <c r="AP35" s="54">
        <f>IF($AJ35&gt;SUM(AM35:AO35),IF($AJ35&lt;20,$AJ35-AM35-AN35-AO35,5),0)</f>
        <v>0</v>
      </c>
      <c r="AQ35" s="54">
        <f>IF($AJ35&gt;SUM(AM35:AP35),IF($AJ35&lt;40,$AJ35-AM35-AN35-AO35-AP35,20),0)</f>
        <v>0</v>
      </c>
      <c r="AR35" s="54">
        <f>IF($AJ35&gt;SUM(AM35:AQ35),IF($AJ35&lt;100,$AJ35-AM35-AN35-AO35-AP35-AQ35,60),0)</f>
        <v>0</v>
      </c>
      <c r="AS35" s="56">
        <f>IF($AJ35&gt;SUM(AM35:AR35),IF($AJ35&lt;200,$AJ35-AM35-AN35-AO35-AP35-AQ35-AR35,100),0)</f>
        <v>0</v>
      </c>
      <c r="AT35" s="56">
        <f>IF($AJ35&gt;SUM(AM35:AS35),IF($AJ35&lt;500,$AJ35-AM35-AN35-AO35-AP35-AQ35-AR35-AS35,300),0)</f>
        <v>0</v>
      </c>
      <c r="AU35" s="56">
        <f>IF($AJ35&gt;SUM(AM35:AT35),IF($AJ35&lt;1000,$AJ35-AM35-AN35-AO35-AP35-AQ35-AR35-AS35-AT35,500),0)</f>
        <v>0</v>
      </c>
      <c r="AV35" s="56">
        <f>IF($AJ35&gt;SUM(AM35:AU35),$AJ35-AM35-AN35-AO35-AP35-AQ35-AR35-AS35-AT35-AU35,0)</f>
        <v>0</v>
      </c>
      <c r="AW35" s="46"/>
      <c r="AX35" s="46"/>
      <c r="AY35" s="46"/>
      <c r="AZ35" s="46"/>
      <c r="BA35" s="33"/>
      <c r="BB35" s="33"/>
      <c r="BC35" s="24"/>
    </row>
    <row r="36" spans="1:62">
      <c r="A36" s="2"/>
      <c r="AB36" s="32"/>
      <c r="AC36" s="27"/>
      <c r="AD36" s="27"/>
      <c r="AE36" s="45"/>
      <c r="AF36" s="46" t="s">
        <v>64</v>
      </c>
      <c r="AG36" s="51">
        <f>$B$12</f>
        <v>0</v>
      </c>
      <c r="AH36" s="52">
        <f t="shared" si="0"/>
        <v>1529</v>
      </c>
      <c r="AI36" s="53">
        <f t="shared" si="0"/>
        <v>1390</v>
      </c>
      <c r="AJ36" s="54">
        <f>AG36/2</f>
        <v>0</v>
      </c>
      <c r="AK36" s="54">
        <f>AL36*1.1</f>
        <v>764.50000000000011</v>
      </c>
      <c r="AL36" s="54">
        <f>695+AN36*5+AO36*106+AP36*162+AQ36*35</f>
        <v>695</v>
      </c>
      <c r="AM36" s="54">
        <f>IF($AJ36&lt;6,$AJ36,6)</f>
        <v>0</v>
      </c>
      <c r="AN36" s="54">
        <f>IF($AJ36&gt;AM36,IF($AJ36&lt;10,$AJ36-AM36,4),0)</f>
        <v>0</v>
      </c>
      <c r="AO36" s="54">
        <f>IF($AJ36&gt;SUM(AM36:AN36),IF($AJ36&lt;15,$AJ36-AM36-AN36,5),0)</f>
        <v>0</v>
      </c>
      <c r="AP36" s="54">
        <f>IF($AJ36&gt;SUM(AM36:AO36),IF($AJ36&lt;20,$AJ36-AM36-AN36-AO36,5),0)</f>
        <v>0</v>
      </c>
      <c r="AQ36" s="57">
        <f>IF($AJ36&gt;SUM(AM36:AP36),$AJ36-AM36-AN36-AO36-AP36,0)</f>
        <v>0</v>
      </c>
      <c r="AR36" s="46"/>
      <c r="AS36" s="46"/>
      <c r="AT36" s="46"/>
      <c r="AU36" s="46"/>
      <c r="AV36" s="46"/>
      <c r="AW36" s="46"/>
      <c r="AX36" s="46"/>
      <c r="AY36" s="46"/>
      <c r="AZ36" s="46"/>
      <c r="BA36" s="33"/>
      <c r="BB36" s="33"/>
      <c r="BC36" s="24"/>
    </row>
    <row r="37" spans="1:62" ht="24">
      <c r="A37" s="2"/>
      <c r="AB37" s="32"/>
      <c r="AC37" s="34"/>
      <c r="AD37" s="27"/>
      <c r="AE37" s="58"/>
      <c r="AF37" s="46" t="s">
        <v>65</v>
      </c>
      <c r="AG37" s="51">
        <f>$B$12</f>
        <v>0</v>
      </c>
      <c r="AH37" s="52">
        <f t="shared" si="0"/>
        <v>0</v>
      </c>
      <c r="AI37" s="53">
        <f t="shared" si="0"/>
        <v>0</v>
      </c>
      <c r="AJ37" s="54">
        <f>AG37/2</f>
        <v>0</v>
      </c>
      <c r="AK37" s="54">
        <f>AL37*1.1</f>
        <v>0</v>
      </c>
      <c r="AL37" s="54">
        <f>AM37*177</f>
        <v>0</v>
      </c>
      <c r="AM37" s="57">
        <f>AJ37</f>
        <v>0</v>
      </c>
      <c r="AN37" s="57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33"/>
      <c r="BB37" s="33"/>
      <c r="BC37" s="24"/>
      <c r="BD37" s="25"/>
      <c r="BE37" s="3"/>
      <c r="BF37" s="3"/>
      <c r="BG37" s="3"/>
      <c r="BH37" s="3"/>
      <c r="BI37" s="3"/>
      <c r="BJ37" s="3"/>
    </row>
    <row r="38" spans="1:62">
      <c r="A38" s="2"/>
      <c r="AB38" s="32"/>
      <c r="AC38" s="34"/>
      <c r="AD38" s="27"/>
      <c r="AE38" s="45"/>
      <c r="AF38" s="59"/>
      <c r="AG38" s="60"/>
      <c r="AH38" s="60"/>
      <c r="AI38" s="60"/>
      <c r="AJ38" s="61"/>
      <c r="AK38" s="61"/>
      <c r="AL38" s="61"/>
      <c r="AM38" s="62"/>
      <c r="AN38" s="62"/>
      <c r="AO38" s="62"/>
      <c r="AP38" s="62"/>
      <c r="AQ38" s="62"/>
      <c r="AR38" s="62"/>
      <c r="AS38" s="62"/>
      <c r="AT38" s="63"/>
      <c r="AU38" s="45"/>
      <c r="AV38" s="45"/>
      <c r="AW38" s="45"/>
      <c r="AX38" s="45"/>
      <c r="AY38" s="45"/>
      <c r="AZ38" s="45"/>
      <c r="BA38" s="27"/>
      <c r="BB38" s="27"/>
      <c r="BD38" s="35"/>
      <c r="BE38" s="7"/>
      <c r="BF38" s="7"/>
      <c r="BG38" s="7"/>
      <c r="BH38" s="7"/>
      <c r="BI38" s="7"/>
      <c r="BJ38" s="7"/>
    </row>
    <row r="39" spans="1:62">
      <c r="A39" s="2"/>
      <c r="AB39" s="32"/>
      <c r="AC39" s="34"/>
      <c r="AD39" s="27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45"/>
      <c r="AV39" s="65"/>
      <c r="AW39" s="45"/>
      <c r="AX39" s="45"/>
      <c r="AY39" s="45"/>
      <c r="AZ39" s="45"/>
      <c r="BA39" s="27"/>
      <c r="BB39" s="27"/>
      <c r="BC39" s="25"/>
      <c r="BD39" s="25"/>
      <c r="BE39" s="3"/>
      <c r="BF39" s="3"/>
      <c r="BG39" s="3"/>
      <c r="BH39" s="3"/>
      <c r="BI39" s="3"/>
      <c r="BJ39" s="3"/>
    </row>
    <row r="40" spans="1:62">
      <c r="A40" s="2"/>
      <c r="AB40" s="32"/>
      <c r="AC40" s="34"/>
      <c r="AD40" s="34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4"/>
      <c r="AV40" s="27"/>
      <c r="AW40" s="27"/>
      <c r="AX40" s="27"/>
      <c r="AY40" s="27"/>
      <c r="AZ40" s="27"/>
      <c r="BA40" s="27"/>
      <c r="BB40" s="27"/>
      <c r="BC40" s="25"/>
    </row>
    <row r="41" spans="1:62">
      <c r="A41" s="2"/>
      <c r="AB41" s="32"/>
      <c r="AC41" s="34"/>
      <c r="AD41" s="34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27"/>
      <c r="AW41" s="27"/>
      <c r="AX41" s="27"/>
      <c r="AY41" s="27"/>
      <c r="AZ41" s="27"/>
      <c r="BA41" s="27"/>
      <c r="BB41" s="27"/>
      <c r="BC41" s="25"/>
    </row>
    <row r="42" spans="1:62">
      <c r="A42" s="2"/>
      <c r="AB42" s="32"/>
      <c r="AC42" s="34"/>
      <c r="AD42" s="34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5"/>
    </row>
    <row r="43" spans="1:62">
      <c r="A43" s="2"/>
      <c r="AB43" s="32"/>
      <c r="AC43" s="27"/>
      <c r="AD43" s="34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5"/>
      <c r="BD43" s="25"/>
      <c r="BE43" s="3"/>
      <c r="BF43" s="3"/>
      <c r="BG43" s="3"/>
      <c r="BH43" s="3"/>
      <c r="BI43" s="3"/>
      <c r="BJ43" s="3"/>
    </row>
    <row r="44" spans="1:62">
      <c r="A44" s="2"/>
      <c r="AB44" s="32"/>
      <c r="AC44" s="27"/>
      <c r="AD44" s="34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5"/>
      <c r="BD44" s="25"/>
      <c r="BE44" s="3"/>
      <c r="BF44" s="3"/>
      <c r="BG44" s="3"/>
      <c r="BH44" s="3"/>
      <c r="BI44" s="3"/>
      <c r="BJ44" s="3"/>
    </row>
    <row r="45" spans="1:62">
      <c r="A45" s="2"/>
      <c r="AB45" s="32"/>
      <c r="AC45" s="27"/>
      <c r="AD45" s="34"/>
      <c r="AE45" s="27"/>
      <c r="AF45" s="27"/>
      <c r="AG45" s="82"/>
      <c r="AH45" s="82"/>
      <c r="AI45" s="82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D45" s="25"/>
      <c r="BE45" s="3"/>
      <c r="BF45" s="3"/>
      <c r="BG45" s="3"/>
      <c r="BH45" s="3"/>
      <c r="BI45" s="3"/>
      <c r="BJ45" s="3"/>
    </row>
    <row r="46" spans="1:62" s="3" customFormat="1"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32"/>
      <c r="AC46" s="27"/>
      <c r="AD46" s="27"/>
      <c r="AE46" s="27"/>
      <c r="AF46" s="28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28"/>
      <c r="BC46" s="26"/>
      <c r="BD46" s="22"/>
      <c r="BE46" s="2"/>
      <c r="BF46" s="2"/>
      <c r="BG46" s="2"/>
      <c r="BH46" s="2"/>
      <c r="BI46" s="2"/>
      <c r="BJ46" s="2"/>
    </row>
    <row r="47" spans="1:62" s="7" customFormat="1"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2"/>
      <c r="AC47" s="33"/>
      <c r="AD47" s="27"/>
      <c r="AE47" s="31"/>
      <c r="AF47" s="84"/>
      <c r="AG47" s="85" t="s">
        <v>9</v>
      </c>
      <c r="AH47" s="85" t="s">
        <v>10</v>
      </c>
      <c r="AI47" s="86"/>
      <c r="AJ47" s="85" t="s">
        <v>11</v>
      </c>
      <c r="AK47" s="96" t="s">
        <v>68</v>
      </c>
      <c r="AL47" s="96"/>
      <c r="AM47" s="96"/>
      <c r="AN47" s="96"/>
      <c r="AO47" s="96"/>
      <c r="AP47" s="96"/>
      <c r="AQ47" s="84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27"/>
      <c r="BC47" s="22"/>
      <c r="BD47" s="22"/>
      <c r="BE47" s="2"/>
      <c r="BF47" s="2"/>
      <c r="BG47" s="2"/>
      <c r="BH47" s="2"/>
      <c r="BI47" s="2"/>
      <c r="BJ47" s="2"/>
    </row>
    <row r="48" spans="1:62" s="3" customFormat="1"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32"/>
      <c r="AC48" s="27"/>
      <c r="AD48" s="27"/>
      <c r="AE48" s="31"/>
      <c r="AF48" s="84"/>
      <c r="AG48" s="85"/>
      <c r="AH48" s="87" t="s">
        <v>69</v>
      </c>
      <c r="AI48" s="86"/>
      <c r="AJ48" s="85" t="s">
        <v>12</v>
      </c>
      <c r="AK48" s="85" t="s">
        <v>70</v>
      </c>
      <c r="AL48" s="85" t="s">
        <v>71</v>
      </c>
      <c r="AM48" s="88" t="s">
        <v>72</v>
      </c>
      <c r="AN48" s="85" t="s">
        <v>73</v>
      </c>
      <c r="AO48" s="85" t="s">
        <v>74</v>
      </c>
      <c r="AP48" s="85" t="s">
        <v>75</v>
      </c>
      <c r="AQ48" s="84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27"/>
      <c r="BC48" s="22"/>
      <c r="BD48" s="22"/>
      <c r="BE48" s="2"/>
      <c r="BF48" s="2"/>
      <c r="BG48" s="2"/>
      <c r="BH48" s="2"/>
      <c r="BI48" s="2"/>
      <c r="BJ48" s="2"/>
    </row>
    <row r="49" spans="1:62">
      <c r="A49" s="2"/>
      <c r="AB49" s="37"/>
      <c r="AC49" s="27"/>
      <c r="AD49" s="27"/>
      <c r="AE49" s="31"/>
      <c r="AF49" s="84"/>
      <c r="AG49" s="85">
        <v>13</v>
      </c>
      <c r="AH49" s="89">
        <f>1520/2</f>
        <v>760</v>
      </c>
      <c r="AI49" s="86"/>
      <c r="AJ49" s="85" t="s">
        <v>13</v>
      </c>
      <c r="AK49" s="88">
        <v>106</v>
      </c>
      <c r="AL49" s="85">
        <v>168</v>
      </c>
      <c r="AM49" s="88">
        <v>203</v>
      </c>
      <c r="AN49" s="85">
        <v>229</v>
      </c>
      <c r="AO49" s="88">
        <v>241</v>
      </c>
      <c r="AP49" s="88"/>
      <c r="AQ49" s="84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27"/>
    </row>
    <row r="50" spans="1:62">
      <c r="A50" s="2"/>
      <c r="AB50" s="38"/>
      <c r="AC50" s="27"/>
      <c r="AD50" s="33"/>
      <c r="AE50" s="31"/>
      <c r="AF50" s="84"/>
      <c r="AG50" s="85">
        <v>20</v>
      </c>
      <c r="AH50" s="89">
        <f>1620/2</f>
        <v>810</v>
      </c>
      <c r="AI50" s="86"/>
      <c r="AJ50" s="85" t="s">
        <v>5</v>
      </c>
      <c r="AK50" s="88">
        <v>106</v>
      </c>
      <c r="AL50" s="85">
        <v>193</v>
      </c>
      <c r="AM50" s="88">
        <v>228</v>
      </c>
      <c r="AN50" s="85">
        <v>257</v>
      </c>
      <c r="AO50" s="85">
        <v>288</v>
      </c>
      <c r="AP50" s="85">
        <v>316</v>
      </c>
      <c r="AQ50" s="84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27"/>
    </row>
    <row r="51" spans="1:62">
      <c r="A51" s="2"/>
      <c r="AB51" s="37"/>
      <c r="AC51" s="27"/>
      <c r="AD51" s="27"/>
      <c r="AE51" s="43"/>
      <c r="AF51" s="84"/>
      <c r="AG51" s="85">
        <v>25</v>
      </c>
      <c r="AH51" s="89">
        <f>1720/2</f>
        <v>860</v>
      </c>
      <c r="AI51" s="86"/>
      <c r="AJ51" s="90" t="s">
        <v>3</v>
      </c>
      <c r="AK51" s="88">
        <v>106</v>
      </c>
      <c r="AL51" s="96">
        <v>62</v>
      </c>
      <c r="AM51" s="96"/>
      <c r="AN51" s="96"/>
      <c r="AO51" s="96"/>
      <c r="AP51" s="96"/>
      <c r="AQ51" s="84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27"/>
    </row>
    <row r="52" spans="1:62" s="3" customFormat="1"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32"/>
      <c r="AC52" s="27"/>
      <c r="AD52" s="27"/>
      <c r="AE52" s="48"/>
      <c r="AF52" s="84"/>
      <c r="AG52" s="85">
        <v>40</v>
      </c>
      <c r="AH52" s="89">
        <f>2300/2</f>
        <v>1150</v>
      </c>
      <c r="AI52" s="86"/>
      <c r="AJ52" s="85" t="s">
        <v>14</v>
      </c>
      <c r="AK52" s="85">
        <v>116</v>
      </c>
      <c r="AL52" s="85"/>
      <c r="AM52" s="85"/>
      <c r="AN52" s="85"/>
      <c r="AO52" s="85"/>
      <c r="AP52" s="85"/>
      <c r="AQ52" s="84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27"/>
      <c r="BC52" s="22"/>
      <c r="BD52" s="22"/>
      <c r="BE52" s="2"/>
      <c r="BF52" s="2"/>
      <c r="BG52" s="2"/>
      <c r="BH52" s="2"/>
      <c r="BI52" s="2"/>
      <c r="BJ52" s="2"/>
    </row>
    <row r="53" spans="1:62" s="3" customFormat="1"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32"/>
      <c r="AC53" s="27"/>
      <c r="AD53" s="27"/>
      <c r="AE53" s="48"/>
      <c r="AF53" s="84"/>
      <c r="AG53" s="85">
        <v>50</v>
      </c>
      <c r="AH53" s="89">
        <f>4750/2</f>
        <v>2375</v>
      </c>
      <c r="AI53" s="86"/>
      <c r="AJ53" s="84"/>
      <c r="AK53" s="84"/>
      <c r="AL53" s="84"/>
      <c r="AM53" s="84"/>
      <c r="AN53" s="84"/>
      <c r="AO53" s="84"/>
      <c r="AP53" s="84"/>
      <c r="AQ53" s="84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27"/>
      <c r="BC53" s="22"/>
      <c r="BD53" s="22"/>
      <c r="BE53" s="2"/>
      <c r="BF53" s="2"/>
      <c r="BG53" s="2"/>
      <c r="BH53" s="2"/>
      <c r="BI53" s="2"/>
      <c r="BJ53" s="2"/>
    </row>
    <row r="54" spans="1:62" s="3" customFormat="1"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32"/>
      <c r="AC54" s="27"/>
      <c r="AD54" s="27"/>
      <c r="AE54" s="48"/>
      <c r="AF54" s="84"/>
      <c r="AG54" s="85">
        <v>75</v>
      </c>
      <c r="AH54" s="89">
        <f>5850/2</f>
        <v>2925</v>
      </c>
      <c r="AI54" s="86"/>
      <c r="AJ54" s="84" t="s">
        <v>8</v>
      </c>
      <c r="AK54" s="84"/>
      <c r="AL54" s="84"/>
      <c r="AM54" s="84"/>
      <c r="AN54" s="84"/>
      <c r="AO54" s="84"/>
      <c r="AP54" s="84"/>
      <c r="AQ54" s="84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27"/>
      <c r="BC54" s="22"/>
      <c r="BD54" s="22"/>
      <c r="BE54" s="2"/>
      <c r="BF54" s="2"/>
      <c r="BG54" s="2"/>
      <c r="BH54" s="2"/>
      <c r="BI54" s="2"/>
      <c r="BJ54" s="2"/>
    </row>
    <row r="55" spans="1:62">
      <c r="A55" s="2"/>
      <c r="AB55" s="37"/>
      <c r="AC55" s="27"/>
      <c r="AD55" s="27"/>
      <c r="AE55" s="48"/>
      <c r="AF55" s="84"/>
      <c r="AG55" s="85">
        <v>100</v>
      </c>
      <c r="AH55" s="89">
        <f>7080/2</f>
        <v>3540</v>
      </c>
      <c r="AI55" s="86"/>
      <c r="AJ55" s="84" t="s">
        <v>2</v>
      </c>
      <c r="AK55" s="84"/>
      <c r="AL55" s="84"/>
      <c r="AM55" s="84"/>
      <c r="AN55" s="84"/>
      <c r="AO55" s="84"/>
      <c r="AP55" s="84"/>
      <c r="AQ55" s="84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27"/>
    </row>
    <row r="56" spans="1:62">
      <c r="A56" s="2"/>
      <c r="AB56" s="37"/>
      <c r="AC56" s="27"/>
      <c r="AD56" s="27"/>
      <c r="AE56" s="48"/>
      <c r="AF56" s="84"/>
      <c r="AG56" s="85">
        <v>150</v>
      </c>
      <c r="AH56" s="89">
        <f>10650/2</f>
        <v>5325</v>
      </c>
      <c r="AI56" s="86"/>
      <c r="AJ56" s="84" t="s">
        <v>6</v>
      </c>
      <c r="AK56" s="84"/>
      <c r="AL56" s="84"/>
      <c r="AM56" s="84"/>
      <c r="AN56" s="84"/>
      <c r="AO56" s="84"/>
      <c r="AP56" s="84"/>
      <c r="AQ56" s="84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27"/>
    </row>
    <row r="57" spans="1:62">
      <c r="A57" s="2"/>
      <c r="AB57" s="37"/>
      <c r="AC57" s="27"/>
      <c r="AD57" s="27"/>
      <c r="AE57" s="48"/>
      <c r="AF57" s="84"/>
      <c r="AG57" s="85">
        <v>200</v>
      </c>
      <c r="AH57" s="89">
        <f>13760/2</f>
        <v>6880</v>
      </c>
      <c r="AI57" s="86"/>
      <c r="AJ57" s="84" t="s">
        <v>4</v>
      </c>
      <c r="AK57" s="84"/>
      <c r="AL57" s="84"/>
      <c r="AM57" s="84"/>
      <c r="AN57" s="84"/>
      <c r="AO57" s="84"/>
      <c r="AP57" s="84"/>
      <c r="AQ57" s="84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27"/>
    </row>
    <row r="58" spans="1:62">
      <c r="A58" s="2"/>
      <c r="AB58" s="32"/>
      <c r="AC58" s="27"/>
      <c r="AD58" s="27"/>
      <c r="AE58" s="48"/>
      <c r="AF58" s="84"/>
      <c r="AG58" s="85">
        <v>250</v>
      </c>
      <c r="AH58" s="89">
        <f>20340/2</f>
        <v>10170</v>
      </c>
      <c r="AI58" s="86"/>
      <c r="AJ58" s="84" t="s">
        <v>7</v>
      </c>
      <c r="AK58" s="84"/>
      <c r="AL58" s="84"/>
      <c r="AM58" s="84"/>
      <c r="AN58" s="84"/>
      <c r="AO58" s="84"/>
      <c r="AP58" s="84"/>
      <c r="AQ58" s="84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27"/>
    </row>
    <row r="59" spans="1:62">
      <c r="A59" s="2"/>
      <c r="AB59" s="32"/>
      <c r="AC59" s="27"/>
      <c r="AD59" s="27"/>
      <c r="AE59" s="49"/>
      <c r="AF59" s="84"/>
      <c r="AG59" s="85">
        <v>300</v>
      </c>
      <c r="AH59" s="89">
        <f>29110/2</f>
        <v>14555</v>
      </c>
      <c r="AI59" s="86"/>
      <c r="AJ59" s="84"/>
      <c r="AK59" s="84"/>
      <c r="AL59" s="84"/>
      <c r="AM59" s="84"/>
      <c r="AN59" s="84"/>
      <c r="AO59" s="84"/>
      <c r="AP59" s="84"/>
      <c r="AQ59" s="84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27"/>
    </row>
    <row r="60" spans="1:62">
      <c r="A60" s="2"/>
      <c r="AB60" s="32"/>
      <c r="AC60" s="27"/>
      <c r="AD60" s="27"/>
      <c r="AE60" s="49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27"/>
    </row>
    <row r="61" spans="1:62">
      <c r="A61" s="2"/>
      <c r="AB61" s="32"/>
      <c r="AC61" s="27"/>
      <c r="AD61" s="27"/>
      <c r="AE61" s="49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27"/>
    </row>
    <row r="62" spans="1:62">
      <c r="A62" s="2"/>
      <c r="AB62" s="32"/>
      <c r="AC62" s="27"/>
      <c r="AD62" s="27"/>
      <c r="AE62" s="49"/>
      <c r="AF62" s="84"/>
      <c r="AG62" s="91" t="s">
        <v>8</v>
      </c>
      <c r="AH62" s="92">
        <f>B8</f>
        <v>0</v>
      </c>
      <c r="AI62" s="91"/>
      <c r="AJ62" s="84"/>
      <c r="AK62" s="84"/>
      <c r="AL62" s="84"/>
      <c r="AM62" s="84"/>
      <c r="AN62" s="84"/>
      <c r="AO62" s="84"/>
      <c r="AP62" s="84"/>
      <c r="AQ62" s="84"/>
      <c r="AR62" s="82"/>
      <c r="AS62" s="82"/>
      <c r="AT62" s="82"/>
      <c r="AU62" s="95"/>
      <c r="AV62" s="95"/>
      <c r="AW62" s="82"/>
      <c r="AX62" s="82"/>
      <c r="AY62" s="82"/>
      <c r="AZ62" s="82"/>
      <c r="BA62" s="82"/>
      <c r="BB62" s="27"/>
    </row>
    <row r="63" spans="1:62">
      <c r="A63" s="2"/>
      <c r="AB63" s="32"/>
      <c r="AC63" s="27"/>
      <c r="AD63" s="27"/>
      <c r="AE63" s="49"/>
      <c r="AF63" s="43"/>
      <c r="AG63" s="66" t="s">
        <v>0</v>
      </c>
      <c r="AH63" s="67">
        <f>B12</f>
        <v>0</v>
      </c>
      <c r="AI63" s="68" t="s">
        <v>43</v>
      </c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27"/>
      <c r="AV63" s="27"/>
      <c r="AW63" s="27"/>
      <c r="AX63" s="27"/>
      <c r="AY63" s="27"/>
      <c r="AZ63" s="27"/>
      <c r="BA63" s="27"/>
      <c r="BB63" s="27"/>
    </row>
    <row r="64" spans="1:62">
      <c r="A64" s="2"/>
      <c r="AB64" s="32"/>
      <c r="AC64" s="27"/>
      <c r="AD64" s="27"/>
      <c r="AE64" s="4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70"/>
      <c r="AT64" s="69"/>
      <c r="AU64" s="27"/>
      <c r="AV64" s="27"/>
      <c r="AW64" s="27"/>
      <c r="AX64" s="27"/>
      <c r="AY64" s="27"/>
      <c r="AZ64" s="27"/>
      <c r="BA64" s="27"/>
      <c r="BB64" s="27"/>
      <c r="BC64" s="25"/>
    </row>
    <row r="65" spans="1:55" ht="18">
      <c r="A65" s="2"/>
      <c r="AB65" s="32"/>
      <c r="AC65" s="27"/>
      <c r="AD65" s="27"/>
      <c r="AE65" s="48"/>
      <c r="AF65" s="71"/>
      <c r="AG65" s="50" t="s">
        <v>15</v>
      </c>
      <c r="AH65" s="50" t="s">
        <v>25</v>
      </c>
      <c r="AI65" s="50" t="s">
        <v>26</v>
      </c>
      <c r="AJ65" s="50" t="s">
        <v>18</v>
      </c>
      <c r="AK65" s="50" t="s">
        <v>27</v>
      </c>
      <c r="AL65" s="50" t="s">
        <v>28</v>
      </c>
      <c r="AM65" s="50" t="s">
        <v>29</v>
      </c>
      <c r="AN65" s="50" t="s">
        <v>21</v>
      </c>
      <c r="AO65" s="50" t="s">
        <v>22</v>
      </c>
      <c r="AP65" s="50" t="s">
        <v>23</v>
      </c>
      <c r="AQ65" s="50" t="s">
        <v>24</v>
      </c>
      <c r="AR65" s="50" t="s">
        <v>32</v>
      </c>
      <c r="AS65" s="50" t="s">
        <v>31</v>
      </c>
      <c r="AT65" s="46"/>
      <c r="AU65" s="33"/>
      <c r="AV65" s="33"/>
      <c r="AW65" s="33"/>
      <c r="AX65" s="33"/>
      <c r="AY65" s="33"/>
      <c r="AZ65" s="33"/>
      <c r="BA65" s="33"/>
      <c r="BB65" s="33"/>
      <c r="BC65" s="35"/>
    </row>
    <row r="66" spans="1:55">
      <c r="A66" s="2"/>
      <c r="AB66" s="32"/>
      <c r="AC66" s="27"/>
      <c r="AD66" s="27"/>
      <c r="AE66" s="45"/>
      <c r="AF66" s="81" t="s">
        <v>51</v>
      </c>
      <c r="AG66" s="72">
        <f>$AH$63</f>
        <v>0</v>
      </c>
      <c r="AH66" s="73" t="e">
        <f t="shared" ref="AH66:AI69" si="1">ROUNDDOWN(AK66*2,0)</f>
        <v>#N/A</v>
      </c>
      <c r="AI66" s="74" t="e">
        <f t="shared" si="1"/>
        <v>#N/A</v>
      </c>
      <c r="AJ66" s="61">
        <f>AG66/2</f>
        <v>0</v>
      </c>
      <c r="AK66" s="61" t="e">
        <f>AL66*1.1</f>
        <v>#N/A</v>
      </c>
      <c r="AL66" s="61" t="e">
        <f>LOOKUP($B$10,$AG$49:$AG$59,$AH$49:$AH$59)+AM66*5+AN66*106+AO66*168+AP66*203+AQ66*229+AR66*241</f>
        <v>#N/A</v>
      </c>
      <c r="AM66" s="61">
        <f>IF($AJ66&lt;10,$AJ66,10)</f>
        <v>0</v>
      </c>
      <c r="AN66" s="61">
        <f>IF($AJ66&gt;AM66,IF($AJ66&lt;15,$AJ66-AM66,5),0)</f>
        <v>0</v>
      </c>
      <c r="AO66" s="61">
        <f>IF($AJ66&gt;SUM(AM66:AN66),IF($AJ66&lt;20,$AJ66-AM66-AN66,5),0)</f>
        <v>0</v>
      </c>
      <c r="AP66" s="61">
        <f>IF($AJ66&gt;SUM(AM66:AO66),IF($AJ66&lt;40,$AJ66-AM66-AN66-AO66,20),0)</f>
        <v>0</v>
      </c>
      <c r="AQ66" s="61">
        <f>IF($AJ66&gt;SUM(AM66:AP66),IF($AJ66&lt;100,$AJ66-AM66-AN66-AO66-AP66,60),0)</f>
        <v>0</v>
      </c>
      <c r="AR66" s="61">
        <f>IF($AJ66&gt;SUM(AM66:AQ66),$AJ66-AM66-AN66-AO66-AP66-AQ66,0)</f>
        <v>0</v>
      </c>
      <c r="AS66" s="63"/>
      <c r="AT66" s="63"/>
      <c r="AU66" s="27"/>
      <c r="AV66" s="27"/>
      <c r="AW66" s="27"/>
      <c r="AX66" s="27"/>
      <c r="AY66" s="27"/>
      <c r="AZ66" s="27"/>
      <c r="BA66" s="27"/>
      <c r="BB66" s="27"/>
      <c r="BC66" s="25"/>
    </row>
    <row r="67" spans="1:55">
      <c r="A67" s="2"/>
      <c r="AB67" s="32"/>
      <c r="AC67" s="27"/>
      <c r="AD67" s="27"/>
      <c r="AE67" s="47"/>
      <c r="AF67" s="63" t="s">
        <v>52</v>
      </c>
      <c r="AG67" s="75">
        <f>$AH$63</f>
        <v>0</v>
      </c>
      <c r="AH67" s="73" t="e">
        <f t="shared" si="1"/>
        <v>#N/A</v>
      </c>
      <c r="AI67" s="74" t="e">
        <f t="shared" si="1"/>
        <v>#N/A</v>
      </c>
      <c r="AJ67" s="61">
        <f>AG67/2</f>
        <v>0</v>
      </c>
      <c r="AK67" s="61" t="e">
        <f>AL67*1.1</f>
        <v>#N/A</v>
      </c>
      <c r="AL67" s="76" t="e">
        <f>LOOKUP($B$10,$AG$49:$AG$59,$AH$49:$AH$59)+AM67*5+AN67*106+AO67*193+AP67*228+AQ67*257+AR67*288+AS67*316</f>
        <v>#N/A</v>
      </c>
      <c r="AM67" s="61">
        <f>IF($AJ67&lt;10,$AJ67,10)</f>
        <v>0</v>
      </c>
      <c r="AN67" s="61">
        <f>IF($AJ67&gt;AM67,IF($AJ67&lt;15,$AJ67-AM67,5),0)</f>
        <v>0</v>
      </c>
      <c r="AO67" s="61">
        <f>IF($AJ67&gt;SUM(AM67:AN67),IF($AJ67&lt;20,$AJ67-AM67-AN67,5),0)</f>
        <v>0</v>
      </c>
      <c r="AP67" s="61">
        <f>IF($AJ67&gt;SUM(AM67:AO67),IF($AJ67&lt;40,$AJ67-AM67-AN67-AO67,20),0)</f>
        <v>0</v>
      </c>
      <c r="AQ67" s="61">
        <f>IF($AJ67&gt;SUM(AM67:AP67),IF($AJ67&lt;100,$AJ67-AM67-AN67-AO67-AP67,60),0)</f>
        <v>0</v>
      </c>
      <c r="AR67" s="61">
        <f>IF($AJ67&gt;SUM(AM67:AQ67),IF($AJ67&lt;200,$AJ67-AM67-AN67-AO67-AP67-AQ67,100),0)</f>
        <v>0</v>
      </c>
      <c r="AS67" s="76">
        <f>IF($AJ67&gt;SUM(AM67:AR67),$AJ67-AM67-AN67-AO67-AP67-AQ67-AR67,0)</f>
        <v>0</v>
      </c>
      <c r="AT67" s="63"/>
      <c r="AU67" s="27"/>
      <c r="AV67" s="27"/>
      <c r="AW67" s="27"/>
      <c r="AX67" s="27"/>
      <c r="AY67" s="27"/>
      <c r="AZ67" s="27"/>
      <c r="BA67" s="27"/>
      <c r="BB67" s="27"/>
    </row>
    <row r="68" spans="1:55">
      <c r="A68" s="2"/>
      <c r="AB68" s="32"/>
      <c r="AC68" s="27"/>
      <c r="AD68" s="27"/>
      <c r="AE68" s="47"/>
      <c r="AF68" s="63" t="s">
        <v>53</v>
      </c>
      <c r="AG68" s="75">
        <f>$AH$63</f>
        <v>0</v>
      </c>
      <c r="AH68" s="73" t="e">
        <f t="shared" si="1"/>
        <v>#N/A</v>
      </c>
      <c r="AI68" s="74" t="e">
        <f t="shared" si="1"/>
        <v>#N/A</v>
      </c>
      <c r="AJ68" s="61">
        <f>AG68/2</f>
        <v>0</v>
      </c>
      <c r="AK68" s="61" t="e">
        <f>AL68*1.1</f>
        <v>#N/A</v>
      </c>
      <c r="AL68" s="61" t="e">
        <f>LOOKUP($B$10,$AG$49:$AG$59,$AH$49:$AH$59)+AM68*5+AN68*106+AO68*62</f>
        <v>#N/A</v>
      </c>
      <c r="AM68" s="61">
        <f>IF($AJ68&lt;10,$AJ68,10)</f>
        <v>0</v>
      </c>
      <c r="AN68" s="61">
        <f>IF($AJ68&gt;AM68,IF($AJ68&lt;15,$AJ68-AM68,5),0)</f>
        <v>0</v>
      </c>
      <c r="AO68" s="61">
        <f>IF($AJ68&gt;SUM(AM68:AN68),$AJ68-AM68-AN68,0)</f>
        <v>0</v>
      </c>
      <c r="AP68" s="61"/>
      <c r="AQ68" s="77"/>
      <c r="AR68" s="63"/>
      <c r="AS68" s="63"/>
      <c r="AT68" s="63"/>
      <c r="AU68" s="27"/>
      <c r="AV68" s="27"/>
      <c r="AW68" s="27"/>
      <c r="AX68" s="27"/>
      <c r="AY68" s="27"/>
      <c r="AZ68" s="27"/>
      <c r="BA68" s="27"/>
      <c r="BB68" s="27"/>
    </row>
    <row r="69" spans="1:55">
      <c r="A69" s="2"/>
      <c r="AB69" s="32"/>
      <c r="AC69" s="27"/>
      <c r="AD69" s="27"/>
      <c r="AE69" s="46"/>
      <c r="AF69" s="63" t="s">
        <v>54</v>
      </c>
      <c r="AG69" s="75">
        <f>$AH$63</f>
        <v>0</v>
      </c>
      <c r="AH69" s="73" t="e">
        <f t="shared" si="1"/>
        <v>#N/A</v>
      </c>
      <c r="AI69" s="74" t="e">
        <f t="shared" si="1"/>
        <v>#N/A</v>
      </c>
      <c r="AJ69" s="61">
        <f>AG69/2</f>
        <v>0</v>
      </c>
      <c r="AK69" s="61" t="e">
        <f>AL69*1.1</f>
        <v>#N/A</v>
      </c>
      <c r="AL69" s="61" t="e">
        <f>LOOKUP($B$10,$AG$49:$AG$59,$AH$49:$AH$59)+AM69*5+AN69*116</f>
        <v>#N/A</v>
      </c>
      <c r="AM69" s="61">
        <f>IF($AJ69&lt;10,$AJ69,10)</f>
        <v>0</v>
      </c>
      <c r="AN69" s="77">
        <f>IF($AJ69&gt;AM69,$AJ69-AM69,0)</f>
        <v>0</v>
      </c>
      <c r="AO69" s="61"/>
      <c r="AP69" s="63"/>
      <c r="AQ69" s="63"/>
      <c r="AR69" s="63"/>
      <c r="AS69" s="63"/>
      <c r="AT69" s="63"/>
      <c r="AU69" s="27"/>
      <c r="AV69" s="27"/>
      <c r="AW69" s="27"/>
      <c r="AX69" s="27"/>
      <c r="AY69" s="27"/>
      <c r="AZ69" s="27"/>
      <c r="BA69" s="27"/>
      <c r="BB69" s="27"/>
    </row>
    <row r="70" spans="1:55">
      <c r="A70" s="2"/>
      <c r="AB70" s="32"/>
      <c r="AC70" s="27"/>
      <c r="AD70" s="27"/>
      <c r="AE70" s="47"/>
      <c r="AF70" s="78"/>
      <c r="AG70" s="79"/>
      <c r="AH70" s="79"/>
      <c r="AI70" s="79"/>
      <c r="AJ70" s="61"/>
      <c r="AK70" s="61"/>
      <c r="AL70" s="61"/>
      <c r="AM70" s="62"/>
      <c r="AN70" s="62"/>
      <c r="AO70" s="62"/>
      <c r="AP70" s="62"/>
      <c r="AQ70" s="62"/>
      <c r="AR70" s="62"/>
      <c r="AS70" s="62"/>
      <c r="AT70" s="63"/>
      <c r="AU70" s="27"/>
      <c r="AV70" s="27"/>
      <c r="AW70" s="27"/>
      <c r="AX70" s="27"/>
      <c r="AY70" s="27"/>
      <c r="AZ70" s="27"/>
      <c r="BA70" s="27"/>
      <c r="BB70" s="27"/>
      <c r="BC70" s="25"/>
    </row>
    <row r="71" spans="1:55">
      <c r="A71" s="2"/>
      <c r="AB71" s="32"/>
      <c r="AC71" s="27"/>
      <c r="AD71" s="27"/>
      <c r="AE71" s="27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27"/>
      <c r="AV71" s="36"/>
      <c r="AW71" s="27"/>
      <c r="AX71" s="27"/>
      <c r="AY71" s="27"/>
      <c r="AZ71" s="27"/>
      <c r="BA71" s="27"/>
      <c r="BB71" s="27"/>
      <c r="BC71" s="25"/>
    </row>
    <row r="72" spans="1:55">
      <c r="A72" s="2"/>
      <c r="AB72" s="32"/>
      <c r="AC72" s="27"/>
      <c r="AD72" s="27"/>
      <c r="AE72" s="27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36"/>
      <c r="AV72" s="27"/>
      <c r="AW72" s="27"/>
      <c r="AX72" s="27"/>
      <c r="AY72" s="27"/>
      <c r="AZ72" s="27"/>
      <c r="BA72" s="27"/>
      <c r="BB72" s="27"/>
      <c r="BC72" s="25"/>
    </row>
    <row r="73" spans="1:55">
      <c r="A73" s="2"/>
      <c r="AB73" s="32"/>
      <c r="AC73" s="27"/>
      <c r="AD73" s="27"/>
      <c r="AE73" s="27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27"/>
      <c r="AV73" s="27"/>
      <c r="AW73" s="27"/>
      <c r="AX73" s="27"/>
      <c r="AY73" s="27"/>
      <c r="AZ73" s="27"/>
      <c r="BA73" s="27"/>
      <c r="BB73" s="27"/>
    </row>
    <row r="74" spans="1:55">
      <c r="A74" s="2"/>
      <c r="AB74" s="32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</row>
    <row r="75" spans="1:55">
      <c r="A75" s="2"/>
      <c r="AB75" s="32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</row>
    <row r="76" spans="1:55">
      <c r="A76" s="2"/>
      <c r="AB76" s="32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</row>
    <row r="77" spans="1:55">
      <c r="A77" s="2"/>
      <c r="AB77" s="32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</row>
    <row r="78" spans="1:55">
      <c r="A78" s="2"/>
      <c r="AB78" s="32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</row>
    <row r="79" spans="1:55">
      <c r="A79" s="2"/>
      <c r="AB79" s="32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</row>
    <row r="80" spans="1:55">
      <c r="A80" s="2"/>
      <c r="AB80" s="32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</row>
    <row r="81" spans="1:54">
      <c r="A81" s="2"/>
      <c r="AB81" s="32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</row>
    <row r="82" spans="1:54">
      <c r="A82" s="2"/>
      <c r="AB82" s="32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</row>
    <row r="83" spans="1:54">
      <c r="A83" s="2"/>
      <c r="AB83" s="32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</row>
    <row r="84" spans="1:54">
      <c r="A84" s="2"/>
      <c r="AB84" s="32"/>
    </row>
    <row r="85" spans="1:54">
      <c r="A85" s="2"/>
      <c r="AB85" s="32"/>
    </row>
    <row r="86" spans="1:54">
      <c r="A86" s="2"/>
      <c r="AB86" s="32"/>
    </row>
    <row r="87" spans="1:54">
      <c r="A87" s="2"/>
      <c r="AB87" s="32"/>
    </row>
    <row r="88" spans="1:54">
      <c r="A88" s="2"/>
      <c r="AB88" s="32"/>
    </row>
    <row r="89" spans="1:54">
      <c r="A89" s="2"/>
      <c r="AB89" s="32"/>
    </row>
    <row r="90" spans="1:54">
      <c r="A90" s="2"/>
      <c r="AB90" s="32"/>
    </row>
    <row r="91" spans="1:54">
      <c r="A91" s="2"/>
      <c r="AB91" s="32"/>
    </row>
    <row r="92" spans="1:54">
      <c r="A92" s="2"/>
      <c r="AB92" s="32"/>
    </row>
    <row r="93" spans="1:54">
      <c r="A93" s="2"/>
      <c r="AB93" s="32"/>
    </row>
    <row r="94" spans="1:54">
      <c r="A94" s="2"/>
      <c r="AB94" s="32"/>
    </row>
    <row r="95" spans="1:54">
      <c r="A95" s="2"/>
      <c r="AB95" s="32"/>
    </row>
    <row r="96" spans="1:54">
      <c r="A96" s="2"/>
      <c r="AB96" s="32"/>
    </row>
    <row r="97" spans="1:28">
      <c r="A97" s="2"/>
      <c r="AB97" s="32"/>
    </row>
    <row r="98" spans="1:28">
      <c r="A98" s="2"/>
      <c r="AB98" s="32"/>
    </row>
    <row r="99" spans="1:28">
      <c r="A99" s="2"/>
      <c r="AB99" s="32"/>
    </row>
    <row r="100" spans="1:28">
      <c r="A100" s="2"/>
      <c r="AB100" s="32"/>
    </row>
    <row r="101" spans="1:28">
      <c r="A101" s="2"/>
      <c r="AB101" s="32"/>
    </row>
    <row r="102" spans="1:28">
      <c r="A102" s="2"/>
      <c r="AB102" s="32"/>
    </row>
    <row r="103" spans="1:28">
      <c r="A103" s="2"/>
      <c r="AB103" s="32"/>
    </row>
    <row r="104" spans="1:28">
      <c r="A104" s="2"/>
      <c r="AB104" s="32"/>
    </row>
  </sheetData>
  <sheetProtection password="CC7D" sheet="1"/>
  <mergeCells count="5">
    <mergeCell ref="K1:M1"/>
    <mergeCell ref="I1:J1"/>
    <mergeCell ref="AU62:AV62"/>
    <mergeCell ref="AL51:AP51"/>
    <mergeCell ref="AK47:AP47"/>
  </mergeCells>
  <phoneticPr fontId="2"/>
  <dataValidations xWindow="501" yWindow="252" count="3">
    <dataValidation allowBlank="1" showInputMessage="1" showErrorMessage="1" prompt="←このボタンを押して表示されるリストから、種別を選択してください。" sqref="AH62"/>
    <dataValidation type="list" allowBlank="1" showInputMessage="1" showErrorMessage="1" sqref="B8">
      <formula1>$AJ$55:$AJ$58</formula1>
    </dataValidation>
    <dataValidation type="list" allowBlank="1" showInputMessage="1" showErrorMessage="1" sqref="B10">
      <formula1>$AG$48:$AG$59</formula1>
    </dataValidation>
  </dataValidations>
  <pageMargins left="0.78740157480314965" right="0.78740157480314965" top="0.78740157480314965" bottom="0.78740157480314965" header="0.51181102362204722" footer="0.51181102362204722"/>
  <pageSetup paperSize="9" scale="57" orientation="portrait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使用料計算機</vt:lpstr>
      <vt:lpstr>使用料計算機!Print_Area</vt:lpstr>
    </vt:vector>
  </TitlesOfParts>
  <Company>府中町役場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kaodagami</dc:creator>
  <cp:lastModifiedBy>fuchu</cp:lastModifiedBy>
  <cp:lastPrinted>2013-12-25T23:37:39Z</cp:lastPrinted>
  <dcterms:created xsi:type="dcterms:W3CDTF">2007-05-25T02:12:21Z</dcterms:created>
  <dcterms:modified xsi:type="dcterms:W3CDTF">2019-09-20T02:51:18Z</dcterms:modified>
</cp:coreProperties>
</file>